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13" documentId="8_{78613098-3D82-4991-9008-2551AF6525A9}" xr6:coauthVersionLast="47" xr6:coauthVersionMax="47" xr10:uidLastSave="{4D6F5475-28AE-4F52-8C03-050F5B7CDAB5}"/>
  <bookViews>
    <workbookView xWindow="-120" yWindow="-120" windowWidth="29040" windowHeight="15840" tabRatio="908" xr2:uid="{011F6F41-A926-4C65-9A15-680089BF6719}"/>
  </bookViews>
  <sheets>
    <sheet name="DETALHAMENTO VALORES SUBJETIVOS" sheetId="1" r:id="rId1"/>
    <sheet name="Quadro Resumo" sheetId="3" r:id="rId2"/>
    <sheet name="Posto 1" sheetId="4" r:id="rId3"/>
    <sheet name="Posto 2" sheetId="6" r:id="rId4"/>
    <sheet name="Posto 3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" i="4" l="1"/>
  <c r="B46" i="7"/>
  <c r="B46" i="6"/>
  <c r="B46" i="4"/>
  <c r="B34" i="7"/>
  <c r="B34" i="6"/>
  <c r="B34" i="4"/>
  <c r="D4" i="7"/>
  <c r="D65" i="7" l="1"/>
  <c r="D64" i="6"/>
  <c r="D64" i="4"/>
  <c r="C64" i="4"/>
  <c r="B22" i="1"/>
  <c r="D65" i="4"/>
  <c r="C65" i="4"/>
  <c r="D65" i="6"/>
  <c r="C65" i="6"/>
  <c r="C66" i="7"/>
  <c r="D66" i="7"/>
  <c r="A4" i="7"/>
  <c r="A1" i="7"/>
  <c r="B82" i="7"/>
  <c r="B81" i="7"/>
  <c r="B80" i="7"/>
  <c r="B75" i="7"/>
  <c r="C65" i="7"/>
  <c r="D63" i="7"/>
  <c r="C63" i="7"/>
  <c r="D62" i="7"/>
  <c r="C62" i="7"/>
  <c r="B47" i="7"/>
  <c r="B35" i="7"/>
  <c r="B33" i="7"/>
  <c r="B32" i="7"/>
  <c r="B48" i="7" s="1"/>
  <c r="B31" i="7"/>
  <c r="B29" i="7"/>
  <c r="B28" i="7"/>
  <c r="B23" i="7"/>
  <c r="B19" i="7"/>
  <c r="D7" i="7"/>
  <c r="D4" i="6"/>
  <c r="D7" i="6" s="1"/>
  <c r="A4" i="6"/>
  <c r="A1" i="6"/>
  <c r="B80" i="6"/>
  <c r="B79" i="6"/>
  <c r="B78" i="6"/>
  <c r="B73" i="6"/>
  <c r="C64" i="6"/>
  <c r="D62" i="6"/>
  <c r="C62" i="6"/>
  <c r="D61" i="6"/>
  <c r="C61" i="6"/>
  <c r="B47" i="6"/>
  <c r="B35" i="6"/>
  <c r="B33" i="6"/>
  <c r="B32" i="6"/>
  <c r="B48" i="6" s="1"/>
  <c r="B31" i="6"/>
  <c r="B29" i="6"/>
  <c r="B28" i="6"/>
  <c r="B23" i="6"/>
  <c r="B19" i="6"/>
  <c r="B32" i="4"/>
  <c r="B48" i="4" s="1"/>
  <c r="B67" i="7" l="1"/>
  <c r="B66" i="6"/>
  <c r="B66" i="4"/>
  <c r="B83" i="7"/>
  <c r="B81" i="6"/>
  <c r="B20" i="7"/>
  <c r="B45" i="7"/>
  <c r="B44" i="7"/>
  <c r="D64" i="7"/>
  <c r="B20" i="6"/>
  <c r="B45" i="6"/>
  <c r="B44" i="6"/>
  <c r="D63" i="6"/>
  <c r="B49" i="7" l="1"/>
  <c r="B49" i="6"/>
  <c r="B64" i="7"/>
  <c r="B24" i="7"/>
  <c r="D8" i="7"/>
  <c r="D48" i="7" s="1"/>
  <c r="B63" i="6"/>
  <c r="B24" i="6"/>
  <c r="D18" i="7" l="1"/>
  <c r="D17" i="7"/>
  <c r="D16" i="7"/>
  <c r="D15" i="7"/>
  <c r="D14" i="7"/>
  <c r="D13" i="7"/>
  <c r="D12" i="7"/>
  <c r="D19" i="7"/>
  <c r="D23" i="7"/>
  <c r="D28" i="7"/>
  <c r="D29" i="7"/>
  <c r="D31" i="7"/>
  <c r="D32" i="7"/>
  <c r="D33" i="7"/>
  <c r="D34" i="7"/>
  <c r="D35" i="7"/>
  <c r="D46" i="7"/>
  <c r="D47" i="7"/>
  <c r="D44" i="7"/>
  <c r="D45" i="7"/>
  <c r="D24" i="7"/>
  <c r="B25" i="7"/>
  <c r="B25" i="6"/>
  <c r="D49" i="7" l="1"/>
  <c r="D25" i="7"/>
  <c r="D20" i="7"/>
  <c r="B19" i="4" l="1"/>
  <c r="B80" i="4"/>
  <c r="B79" i="4"/>
  <c r="B78" i="4"/>
  <c r="B73" i="4" l="1"/>
  <c r="A4" i="4"/>
  <c r="D4" i="4" l="1"/>
  <c r="A1" i="4"/>
  <c r="B81" i="4" l="1"/>
  <c r="D62" i="4"/>
  <c r="C62" i="4"/>
  <c r="D61" i="4"/>
  <c r="C61" i="4"/>
  <c r="B47" i="4"/>
  <c r="B35" i="4"/>
  <c r="B33" i="4"/>
  <c r="B31" i="4"/>
  <c r="B29" i="4"/>
  <c r="B28" i="4"/>
  <c r="B23" i="4"/>
  <c r="D7" i="4"/>
  <c r="B37" i="1"/>
  <c r="C14" i="3" s="1"/>
  <c r="B12" i="1"/>
  <c r="B58" i="7" l="1"/>
  <c r="B58" i="6"/>
  <c r="D58" i="6" s="1"/>
  <c r="D59" i="6" s="1"/>
  <c r="B58" i="4"/>
  <c r="D58" i="4" s="1"/>
  <c r="D59" i="4" s="1"/>
  <c r="D66" i="4"/>
  <c r="D67" i="7"/>
  <c r="D68" i="7" s="1"/>
  <c r="D66" i="6"/>
  <c r="D67" i="6" s="1"/>
  <c r="D69" i="6" s="1"/>
  <c r="D36" i="6" s="1"/>
  <c r="B74" i="4"/>
  <c r="B75" i="4" s="1"/>
  <c r="B76" i="7"/>
  <c r="B74" i="6"/>
  <c r="B20" i="4"/>
  <c r="B45" i="4"/>
  <c r="B49" i="4"/>
  <c r="D63" i="4"/>
  <c r="D58" i="7" l="1"/>
  <c r="D59" i="7" s="1"/>
  <c r="D70" i="7" s="1"/>
  <c r="D8" i="4"/>
  <c r="D48" i="4" s="1"/>
  <c r="B75" i="6"/>
  <c r="B77" i="7"/>
  <c r="D30" i="6"/>
  <c r="B63" i="4"/>
  <c r="D67" i="4"/>
  <c r="D69" i="4" s="1"/>
  <c r="D36" i="4" s="1"/>
  <c r="B24" i="4"/>
  <c r="D36" i="7" l="1"/>
  <c r="B36" i="7" s="1"/>
  <c r="D13" i="4"/>
  <c r="D16" i="4"/>
  <c r="D17" i="4"/>
  <c r="D32" i="4"/>
  <c r="D33" i="4"/>
  <c r="D14" i="4"/>
  <c r="D15" i="4"/>
  <c r="D18" i="4"/>
  <c r="D45" i="4"/>
  <c r="D12" i="4"/>
  <c r="D44" i="4"/>
  <c r="D28" i="4"/>
  <c r="D30" i="7"/>
  <c r="B30" i="7" s="1"/>
  <c r="B37" i="7" s="1"/>
  <c r="D37" i="7" s="1"/>
  <c r="D31" i="4"/>
  <c r="D23" i="4"/>
  <c r="D47" i="4"/>
  <c r="D29" i="4"/>
  <c r="D19" i="4"/>
  <c r="D35" i="4"/>
  <c r="D46" i="4"/>
  <c r="D34" i="4"/>
  <c r="D30" i="4"/>
  <c r="B30" i="4" s="1"/>
  <c r="B37" i="4" s="1"/>
  <c r="D37" i="4" s="1"/>
  <c r="B36" i="4"/>
  <c r="B53" i="4" s="1"/>
  <c r="D24" i="4"/>
  <c r="B25" i="4"/>
  <c r="B38" i="7" l="1"/>
  <c r="D38" i="7" s="1"/>
  <c r="B53" i="7"/>
  <c r="D53" i="7" s="1"/>
  <c r="D25" i="4"/>
  <c r="D20" i="4"/>
  <c r="D49" i="4"/>
  <c r="D39" i="7"/>
  <c r="D54" i="7" s="1"/>
  <c r="D72" i="7" s="1"/>
  <c r="D75" i="7" s="1"/>
  <c r="B39" i="7"/>
  <c r="B54" i="7" s="1"/>
  <c r="B38" i="4"/>
  <c r="D76" i="7" l="1"/>
  <c r="D77" i="7" s="1"/>
  <c r="D38" i="4"/>
  <c r="D39" i="4" s="1"/>
  <c r="B39" i="4"/>
  <c r="B54" i="4" s="1"/>
  <c r="D53" i="4"/>
  <c r="D82" i="7" l="1"/>
  <c r="D81" i="7"/>
  <c r="D80" i="7"/>
  <c r="D54" i="4"/>
  <c r="D70" i="4" s="1"/>
  <c r="D83" i="7" l="1"/>
  <c r="D86" i="7" s="1"/>
  <c r="E86" i="7" s="1"/>
  <c r="D73" i="4"/>
  <c r="D74" i="4"/>
  <c r="D9" i="3" l="1"/>
  <c r="F9" i="3" s="1"/>
  <c r="G9" i="3" s="1"/>
  <c r="H9" i="3" s="1"/>
  <c r="D75" i="4"/>
  <c r="D80" i="4" l="1"/>
  <c r="D79" i="4"/>
  <c r="D78" i="4"/>
  <c r="D81" i="4" l="1"/>
  <c r="D84" i="4" s="1"/>
  <c r="E84" i="4" s="1"/>
  <c r="D7" i="3" l="1"/>
  <c r="F7" i="3" s="1"/>
  <c r="G7" i="3" s="1"/>
  <c r="H7" i="3" s="1"/>
  <c r="D8" i="6" l="1"/>
  <c r="D23" i="6" l="1"/>
  <c r="D48" i="6"/>
  <c r="D19" i="6"/>
  <c r="D34" i="6"/>
  <c r="D35" i="6"/>
  <c r="D31" i="6"/>
  <c r="D46" i="6"/>
  <c r="D28" i="6"/>
  <c r="D29" i="6"/>
  <c r="D47" i="6"/>
  <c r="D32" i="6"/>
  <c r="D33" i="6"/>
  <c r="D13" i="6"/>
  <c r="D45" i="6"/>
  <c r="D44" i="6"/>
  <c r="D12" i="6"/>
  <c r="D16" i="6"/>
  <c r="D15" i="6"/>
  <c r="D18" i="6"/>
  <c r="D17" i="6"/>
  <c r="D14" i="6"/>
  <c r="D24" i="6"/>
  <c r="B36" i="6"/>
  <c r="B30" i="6"/>
  <c r="D25" i="6" l="1"/>
  <c r="D49" i="6"/>
  <c r="B53" i="6"/>
  <c r="D53" i="6" s="1"/>
  <c r="B38" i="6"/>
  <c r="D38" i="6" s="1"/>
  <c r="B37" i="6"/>
  <c r="D37" i="6" s="1"/>
  <c r="D20" i="6"/>
  <c r="D39" i="6" l="1"/>
  <c r="D54" i="6" s="1"/>
  <c r="D70" i="6" s="1"/>
  <c r="B39" i="6"/>
  <c r="B54" i="6" s="1"/>
  <c r="D73" i="6" l="1"/>
  <c r="D74" i="6"/>
  <c r="D75" i="6" l="1"/>
  <c r="D80" i="6" l="1"/>
  <c r="D79" i="6"/>
  <c r="D78" i="6"/>
  <c r="D81" i="6" l="1"/>
  <c r="D84" i="6" s="1"/>
  <c r="D8" i="3" s="1"/>
  <c r="F8" i="3" s="1"/>
  <c r="G8" i="3" s="1"/>
  <c r="H8" i="3" s="1"/>
  <c r="E84" i="6" l="1"/>
  <c r="G10" i="3"/>
  <c r="F10" i="3"/>
  <c r="H10" i="3" l="1"/>
</calcChain>
</file>

<file path=xl/sharedStrings.xml><?xml version="1.0" encoding="utf-8"?>
<sst xmlns="http://schemas.openxmlformats.org/spreadsheetml/2006/main" count="712" uniqueCount="189">
  <si>
    <t>DETALHAMENTO COM A COMPOSIÇÃO DOS CAMPOS OUTROS BENEFÍCIOS OBRIGATÓRIOS, OUTROS INSUMOS E DESPESAS ADMINISTRATIVAS/OPERACIONAIS</t>
  </si>
  <si>
    <t>Obs.: Apenas os campos em amarelo serão preenchidos pelo licitante.</t>
  </si>
  <si>
    <t>OUTROS INSUMOS</t>
  </si>
  <si>
    <t>VALOR MENSAL (R$)</t>
  </si>
  <si>
    <t>Justificativa</t>
  </si>
  <si>
    <t>TOTAL DE OUTROS INSUMOS</t>
  </si>
  <si>
    <t>TOTAL DE OUTROS BENEFÍCIOS OBRIGATÓRIOS</t>
  </si>
  <si>
    <t>DETALHAMENTO DAS DESPESAS ADMINISTRATIVAS/OPERACIONAIS</t>
  </si>
  <si>
    <t>Percentual (%)</t>
  </si>
  <si>
    <t>TOTAL DAS DESPESAS ADMINISTRATIVAS/OPERACIONAIS</t>
  </si>
  <si>
    <t>QUADRO RESUMO</t>
  </si>
  <si>
    <t>Nº</t>
  </si>
  <si>
    <t>Posto de trabalho</t>
  </si>
  <si>
    <t>Salário-base (R$)</t>
  </si>
  <si>
    <t>Custo total unitário (R$)</t>
  </si>
  <si>
    <t>Quantidade</t>
  </si>
  <si>
    <t>Valor mensal (R$)</t>
  </si>
  <si>
    <t>Valor anual (R$)</t>
  </si>
  <si>
    <t>Bonificação e outras despesas</t>
  </si>
  <si>
    <t>Percentual</t>
  </si>
  <si>
    <t>Lucro</t>
  </si>
  <si>
    <t>Despesas administrativas/operacionais</t>
  </si>
  <si>
    <t>Encargos sociais incidentes sobre a remuneração</t>
  </si>
  <si>
    <t>Seguro de Acidente e Trabalho - RAT x FAP</t>
  </si>
  <si>
    <t>Tributação sobre o faturamento</t>
  </si>
  <si>
    <t>ISSQN ou ISS</t>
  </si>
  <si>
    <t>COFINS</t>
  </si>
  <si>
    <t>PIS/PASEP</t>
  </si>
  <si>
    <t>Obs.: Os valores obtidos como quocientes ou por meio de aplicação de taxas percentuais serão truncados na segunda casa decimal, nos termos da Lei Federal nº 9.069/1995, art. 1º, §5º.</t>
  </si>
  <si>
    <t>I - SALÁRIO BASE DO PROFISSIONAL</t>
  </si>
  <si>
    <t>VALOR</t>
  </si>
  <si>
    <t>-</t>
  </si>
  <si>
    <t>Carga horária de 220h</t>
  </si>
  <si>
    <t>II - COMPOSIÇÃO DA REMUNERAÇÃO</t>
  </si>
  <si>
    <t>QUANTIDADE</t>
  </si>
  <si>
    <t>MEMÓRIA DE CÁLCULO</t>
  </si>
  <si>
    <t>FUNDAMENTO</t>
  </si>
  <si>
    <t>Salário-base</t>
  </si>
  <si>
    <t>TOTAL II</t>
  </si>
  <si>
    <t>(soma)</t>
  </si>
  <si>
    <t>III - ENCARGOS SOCIAIS E TRABALHISTAS</t>
  </si>
  <si>
    <t>GRUPO III-A - Encargos previdenciários, FGTS e outras contribuições</t>
  </si>
  <si>
    <t>PERCENTUAL</t>
  </si>
  <si>
    <t>A.01 INSS</t>
  </si>
  <si>
    <t>20,000% * TOTAL II</t>
  </si>
  <si>
    <t>Art. 22, inciso I da Lei nº 8.212/91</t>
  </si>
  <si>
    <t>A.02 FGTS</t>
  </si>
  <si>
    <t>8,000% * TOTAL II</t>
  </si>
  <si>
    <t>Art. 15, Lei 8.030/90, e  Art. 7º , III, CF.</t>
  </si>
  <si>
    <t>A.03 SESI/SESC</t>
  </si>
  <si>
    <t>1,500% * TOTAL II</t>
  </si>
  <si>
    <t>Art. 30, Lei 8.036/90.</t>
  </si>
  <si>
    <t>A.04 SENAI/SENAC</t>
  </si>
  <si>
    <t>1,000% * TOTAL II</t>
  </si>
  <si>
    <t>Decreto 2.318/86.</t>
  </si>
  <si>
    <t>A.05 INCRA</t>
  </si>
  <si>
    <t>0,200% * TOTAL II</t>
  </si>
  <si>
    <t>Lei 7.787/89 e DL 1.146/70.</t>
  </si>
  <si>
    <t>A.06 SEBRAE</t>
  </si>
  <si>
    <t>0,600% * TOTAL II</t>
  </si>
  <si>
    <t>Art. 8º, Lei 8.029/90, e Lei 8.154/90.</t>
  </si>
  <si>
    <t>A.07 Salário educação</t>
  </si>
  <si>
    <t>2,500% * TOTAL II</t>
  </si>
  <si>
    <t>Art. 3º, I, Decreto 87.043/82.</t>
  </si>
  <si>
    <t>A.08 Riscos ambientais do trabalho - RAT x FAP</t>
  </si>
  <si>
    <t>%(RAT*FAP) * TOTAL II</t>
  </si>
  <si>
    <t>Art. 22, inciso II, Lei nº 8.212/91 e Resolução MPS/CNPS Nº 1.316/10</t>
  </si>
  <si>
    <t>TOTAL III-A</t>
  </si>
  <si>
    <t>GRUPO III-B - 13º salário</t>
  </si>
  <si>
    <t>B.01 13º salário</t>
  </si>
  <si>
    <t>(1/12) * TOTAL II</t>
  </si>
  <si>
    <t>Art. 7º, VIII, CF/88.</t>
  </si>
  <si>
    <t>B.02 Incidência dos encargos do grupo A sobre o 13º</t>
  </si>
  <si>
    <t>%TOTAL III-A * %B.01 * TOTAL II</t>
  </si>
  <si>
    <t>Art. 15, da Lei 8.036/90, e o art. 214 do Decreto 3.048/1999</t>
  </si>
  <si>
    <t>TOTAL III-B</t>
  </si>
  <si>
    <t>GRUPO III-C - Custo de reposição do profissional ausente</t>
  </si>
  <si>
    <t>C.01 Férias</t>
  </si>
  <si>
    <t>Art. 7º, XVII, CF/88 e arts. 129 a 153 da CLT.</t>
  </si>
  <si>
    <t>C.02 Adicional de férias</t>
  </si>
  <si>
    <t>(1/3)/12 * TOTAL II</t>
  </si>
  <si>
    <r>
      <t>C.03 Insumos e benefícios</t>
    </r>
    <r>
      <rPr>
        <vertAlign val="superscript"/>
        <sz val="10"/>
        <rFont val="Arial"/>
        <family val="2"/>
      </rPr>
      <t>1</t>
    </r>
  </si>
  <si>
    <t>(TOTAL IV - vale transporte)/12</t>
  </si>
  <si>
    <t>Súmula 159 do TST.</t>
  </si>
  <si>
    <r>
      <t>C.04 Ausência por doença</t>
    </r>
    <r>
      <rPr>
        <vertAlign val="superscript"/>
        <sz val="10"/>
        <rFont val="Arial"/>
        <family val="2"/>
      </rPr>
      <t>2</t>
    </r>
  </si>
  <si>
    <t>(5,96/30)/12 * TOTAL II</t>
  </si>
  <si>
    <t>Art. 59 a 64, Lei 8.213/91.</t>
  </si>
  <si>
    <r>
      <t>C.05 Auxílio doença acidentário</t>
    </r>
    <r>
      <rPr>
        <vertAlign val="superscript"/>
        <sz val="10"/>
        <rFont val="Arial"/>
        <family val="2"/>
      </rPr>
      <t>3</t>
    </r>
  </si>
  <si>
    <t>Art. 19 a 23 da Lei, 8.213/91.</t>
  </si>
  <si>
    <r>
      <t>C.06 Faltas legais</t>
    </r>
    <r>
      <rPr>
        <vertAlign val="superscript"/>
        <sz val="10"/>
        <rFont val="Arial"/>
        <family val="2"/>
      </rPr>
      <t>4</t>
    </r>
  </si>
  <si>
    <t>(2,96/30)/12 * TOTAL II</t>
  </si>
  <si>
    <t>Art. 473, CLT.</t>
  </si>
  <si>
    <r>
      <t>C.07 Licença paternidade</t>
    </r>
    <r>
      <rPr>
        <vertAlign val="superscript"/>
        <sz val="10"/>
        <rFont val="Arial"/>
        <family val="2"/>
      </rPr>
      <t>5</t>
    </r>
  </si>
  <si>
    <r>
      <t xml:space="preserve">Art. 7º, XIX, CF/88, e 10, </t>
    </r>
    <r>
      <rPr>
        <sz val="10"/>
        <rFont val="Calibri"/>
        <family val="2"/>
      </rPr>
      <t>§</t>
    </r>
    <r>
      <rPr>
        <sz val="10"/>
        <rFont val="Arial"/>
        <family val="2"/>
      </rPr>
      <t>1º, CLT.</t>
    </r>
  </si>
  <si>
    <r>
      <t>C.08 Aviso prévio trabalhado</t>
    </r>
    <r>
      <rPr>
        <vertAlign val="superscript"/>
        <sz val="10"/>
        <rFont val="Arial"/>
        <family val="2"/>
      </rPr>
      <t>6</t>
    </r>
  </si>
  <si>
    <t>[(7/30)/12] * TOTAL II</t>
  </si>
  <si>
    <t>Art. 7º, XXI, CF/88, 477, 487 e 491 CLT.</t>
  </si>
  <si>
    <r>
      <t>C.09 Afastamento maternidade</t>
    </r>
    <r>
      <rPr>
        <vertAlign val="superscript"/>
        <sz val="10"/>
        <rFont val="Arial"/>
        <family val="2"/>
      </rPr>
      <t>7</t>
    </r>
  </si>
  <si>
    <t>C.10 Incidência dos encargos do grupo A sobre itens anteriores</t>
  </si>
  <si>
    <t>%TOTAL III-A * %(C.01+C.02+C.03+C.04+C.05+C.06+C.07+C.08) * TOTAL II</t>
  </si>
  <si>
    <t>C.11 Incidência dos encargos do grupo A sobre a remuneração do afastamento maternidade</t>
  </si>
  <si>
    <t>%TOTAL III-A * %C.09 * TOTAL II</t>
  </si>
  <si>
    <t>Art. 6º e 201, CF/88, 392 CLT.</t>
  </si>
  <si>
    <t>TOTAL III-C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</si>
  <si>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Referentes unicamente à substituição por motivo de férias</t>
    </r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</si>
  <si>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Estima-se de 2,96 ausências por ano.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</si>
  <si>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Estima-se de 5,96 dias de licença por ano.</t>
    </r>
  </si>
  <si>
    <r>
      <rPr>
        <vertAlign val="superscript"/>
        <sz val="9"/>
        <rFont val="Arial"/>
        <family val="2"/>
      </rPr>
      <t>6</t>
    </r>
    <r>
      <rPr>
        <sz val="9"/>
        <rFont val="Arial"/>
        <family val="2"/>
      </rPr>
      <t>Redução de 7 dias ou de 2h por dia. Percentual relativo a contrato de 12 meses.</t>
    </r>
  </si>
  <si>
    <t>GRUPO III-D - Provisão para a rescisão</t>
  </si>
  <si>
    <t>D.01 Aviso prévio indenizado¹</t>
  </si>
  <si>
    <t xml:space="preserve"> (1/12) * 0,055 * (1+ %C.01+%C02) * TOTAL II</t>
  </si>
  <si>
    <t>Art. 7º, XXI, CF/88, 477,487 e 491 CLT.</t>
  </si>
  <si>
    <t>D.02 FGTS sobre aviso prévio indenizado</t>
  </si>
  <si>
    <t xml:space="preserve"> (1/12) * 0,055* (1+%C.01+%C.02) * 0,08 * TOTAL II</t>
  </si>
  <si>
    <t>Súmula 305 do TST.</t>
  </si>
  <si>
    <r>
      <t>D.03 Indenização</t>
    </r>
    <r>
      <rPr>
        <vertAlign val="superscript"/>
        <sz val="10"/>
        <rFont val="Arial"/>
        <family val="2"/>
      </rPr>
      <t>2</t>
    </r>
  </si>
  <si>
    <t xml:space="preserve"> 0,5 * 0,08 * TOTAL II</t>
  </si>
  <si>
    <t>Art. 18, § 1º, Lei 8.036/90 e Art. 1º, Lei Complementar 110.</t>
  </si>
  <si>
    <r>
      <t>D.04 Indenização adicional</t>
    </r>
    <r>
      <rPr>
        <vertAlign val="superscript"/>
        <sz val="10"/>
        <rFont val="Arial"/>
        <family val="2"/>
      </rPr>
      <t>3</t>
    </r>
  </si>
  <si>
    <t xml:space="preserve"> (1/12) * 0,01 * TOTAL II</t>
  </si>
  <si>
    <t>Art. 9º, Lei 7.238/84</t>
  </si>
  <si>
    <t>TOTAL III-D</t>
  </si>
  <si>
    <r>
      <t>1</t>
    </r>
    <r>
      <rPr>
        <sz val="9"/>
        <rFont val="Arial"/>
        <family val="2"/>
      </rPr>
      <t>Estima-se que 5,5% dos empregados receberão o aviso prévio indenizado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</si>
  <si>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Considerando que 1% dos funcionários serão demitidos em situação de recebimento de indenização adicional.</t>
    </r>
  </si>
  <si>
    <t>GRUPO III-E - Provisão para rescisão - substituto do empregado ausente</t>
  </si>
  <si>
    <t>E.01 Verbas rescisórias do substituto do empregado ausente</t>
  </si>
  <si>
    <t>(%C.01+C.04+%C.05+%C.06+%C.07+%C.08+%C.09) * (%B.01+%C.01+%C.02+%A.02) * TOTAL II</t>
  </si>
  <si>
    <t>TOTAL III</t>
  </si>
  <si>
    <t>TOTAL III-A + TOTAL III-B + TOTAL III-C + TOTAL III-D + TOTAL III-E</t>
  </si>
  <si>
    <t>IV - INSUMOS E BENEFÍCIOS MENSAIS E DIÁRIOS</t>
  </si>
  <si>
    <t>GRUPO IV-A - Uniforme e Insumos de valor subjetivo</t>
  </si>
  <si>
    <t>Em documento anexado à planilha</t>
  </si>
  <si>
    <t xml:space="preserve">Outros insumos </t>
  </si>
  <si>
    <t>Insumos eventualmente não previstos na planilha necessários ao cumprimento do objeto.</t>
  </si>
  <si>
    <t>TOTAL IV-A</t>
  </si>
  <si>
    <t>GRUPO IV-B - Benefícios mensais e diários</t>
  </si>
  <si>
    <t>Vale-transporte</t>
  </si>
  <si>
    <t>Desconto legal sobre transporte (máximo de 6% do salário-base)</t>
  </si>
  <si>
    <t>(-0,06*Salário)</t>
  </si>
  <si>
    <t>Art. 4º, parágrafo único, Lei 7.418/85.</t>
  </si>
  <si>
    <t>Detalhada em documento a ser apresentado com a planilha</t>
  </si>
  <si>
    <t>Benefícios impostos pela legislação vigente, ACT ou CCT, não previstos na planilha</t>
  </si>
  <si>
    <t>TOTAL IV-B</t>
  </si>
  <si>
    <t>TOTAL IV</t>
  </si>
  <si>
    <t>TOTAL IV-A + TOTAL IV-B</t>
  </si>
  <si>
    <t>TOTAL 1: TOTAL DA REMUNERAÇÃO + ENCARGOS SOCIAIS + INSUMOS</t>
  </si>
  <si>
    <t>TOTAL II  + TOTAL III + TOTAL IV</t>
  </si>
  <si>
    <t>V - BONIFICAÇÃO E OUTRAS DESPESAS</t>
  </si>
  <si>
    <t>Sobre o TOTAL 1</t>
  </si>
  <si>
    <t>Conforme detalhamento a ser apresentado em documento anexado à planilha</t>
  </si>
  <si>
    <t>TOTAL V</t>
  </si>
  <si>
    <t>VI - TRIBUTAÇÃO SOBRE O FATURAMENTO</t>
  </si>
  <si>
    <t>((TOTAL 1 + TOTAL V)/(1-(ISS + COFINS + PIS/PASEP)))*alíquota</t>
  </si>
  <si>
    <t>Art. 156, III, CF/88</t>
  </si>
  <si>
    <t>Art. 195, CF/88 e Lei Complementar 70/91</t>
  </si>
  <si>
    <t>Art. 239, CF/88</t>
  </si>
  <si>
    <t>TOTAL VI</t>
  </si>
  <si>
    <t>CUSTO POR PROFISSIONAL</t>
  </si>
  <si>
    <t>MENSAL</t>
  </si>
  <si>
    <t>ANUAL</t>
  </si>
  <si>
    <t>(TOTAL 1 + TOTAL V + TOTAL VI)</t>
  </si>
  <si>
    <t>Outros benefícios obrigatórios</t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</si>
  <si>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Estima-se que 0,743% dos empregados alocados fruirão o benefício</t>
    </r>
  </si>
  <si>
    <t>((15/30)/12)* 0,00743 * TOTAL II</t>
  </si>
  <si>
    <t>GRUPO IV-A - Insumos de valor subjetivo</t>
  </si>
  <si>
    <t xml:space="preserve">Considerando o empregado e dois  dependentes </t>
  </si>
  <si>
    <t>PORTARIA SUMOB N° 236/2024, 2 passagens de ida e 2 de volta, 22 dias.</t>
  </si>
  <si>
    <r>
      <t>Plano de saúde</t>
    </r>
    <r>
      <rPr>
        <vertAlign val="superscript"/>
        <sz val="10"/>
        <rFont val="Arial"/>
        <family val="2"/>
      </rPr>
      <t>1</t>
    </r>
  </si>
  <si>
    <r>
      <t>Taxa de adesão individual ao plano de saúde</t>
    </r>
    <r>
      <rPr>
        <vertAlign val="superscript"/>
        <sz val="10"/>
        <rFont val="Arial"/>
        <family val="2"/>
      </rPr>
      <t>1</t>
    </r>
  </si>
  <si>
    <t>Baseado no valor praticado pelo BDMG na contratação mais recente de serviços de apoio administrativo. Esse valor é o mínimo aceitável e não poderá ser reduzido. Caso seja necessário complementação, em razão de ACT/CCT ou legislação que vincule o licitante ,o valor complementar deve ser incluído pelo campo Outros benefícios obrigatórios</t>
  </si>
  <si>
    <t>PREÇOS TOTAIS  (MENSAL, ANUAL E GLOBAL PELA CONTRATAÇÃO):</t>
  </si>
  <si>
    <r>
      <t>1</t>
    </r>
    <r>
      <rPr>
        <sz val="9"/>
        <rFont val="Arial"/>
        <family val="2"/>
      </rPr>
      <t>O Valor mensal máximo reembolsável referente às despesas com Plano de saúde e taxa de adesão individual ao plano de saúde são, respectivamente R$1.179,06 e R$6,25</t>
    </r>
  </si>
  <si>
    <t>Valor global  (R$)</t>
  </si>
  <si>
    <t>Vale alimentação/refeição</t>
  </si>
  <si>
    <t>Art. 15, §5° da Lei n. 8.036/1990</t>
  </si>
  <si>
    <t>D.05 FGTS sobre afastamento superior a 15 dias por acidente de trabalho</t>
  </si>
  <si>
    <t>0,08 * %C.05 * TOTAL II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</si>
  <si>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Multa de 40% do FGTS + contribuição social sobre o FGTS</t>
    </r>
  </si>
  <si>
    <t>ASSISTENTE ADMINISTRATIVO I</t>
  </si>
  <si>
    <t>ASSISTENTE ADMINISTRATIVO II</t>
  </si>
  <si>
    <t>ENCARREGADO ADMINISTRATIVO</t>
  </si>
  <si>
    <r>
      <t>5</t>
    </r>
    <r>
      <rPr>
        <sz val="9"/>
        <rFont val="Arial"/>
        <family val="2"/>
      </rPr>
      <t>Tendo em vista a taxa de natalidade de 1,057% e o percentual de homens empregados de 59%</t>
    </r>
  </si>
  <si>
    <t>(5/30)/12 * 0,01057 * 0,59 * TOTAL II</t>
  </si>
  <si>
    <t>[(Férias + adicional de férias)/12 + (TOTAL IV - vale transporte)] * (4/12) * 0,01057 * 0,41 * TOTAL II</t>
  </si>
  <si>
    <r>
      <rPr>
        <vertAlign val="superscript"/>
        <sz val="9"/>
        <rFont val="Arial"/>
        <family val="2"/>
      </rPr>
      <t>7</t>
    </r>
    <r>
      <rPr>
        <sz val="9"/>
        <rFont val="Arial"/>
        <family val="2"/>
      </rPr>
      <t>Tendo em vista a taxa de natalidade de 1,057% e o percentual de mulheres empregadas de 41%</t>
    </r>
  </si>
  <si>
    <t>(5/30)/12 * 0,01057* 0,59 * TOTAL II</t>
  </si>
  <si>
    <t>[(Férias + adicional de férias)/12 + (TOTAL IV - vale transporte)] * (4/12) * 0,01057 * 0,49 * TOTAL II</t>
  </si>
  <si>
    <r>
      <t>7</t>
    </r>
    <r>
      <rPr>
        <sz val="9"/>
        <rFont val="Arial"/>
        <family val="2"/>
      </rPr>
      <t>Tendo em vista a taxa de natalidade de 1,057% e o percentual de mulheres empregadas de 41%</t>
    </r>
  </si>
  <si>
    <t>OUTROS BENEFÍCIOS OBRIGATÓRIOS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</si>
</sst>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R$&quot;\ * #,##0.00_);_(&quot;R$&quot;\ * \(#,##0.00\);_(&quot;R$&quot;\ * &quot;-&quot;??_);_(@_)"/>
    <numFmt numFmtId="43" formatCode="_(* #,##0.00_);_(* \(#,##0.00\);_(* &quot;-&quot;??_);_(@_)"/>
    <numFmt numFmtId="164" formatCode="_-&quot;R$&quot;* #,##0.00_-;\-&quot;R$&quot;* #,##0.00_-;_-&quot;R$&quot;* &quot;-&quot;??_-;_-@_-"/>
    <numFmt numFmtId="165" formatCode="_-* #,##0.00_-;\-* #,##0.00_-;_-* &quot;-&quot;??_-;_-@_-"/>
    <numFmt numFmtId="166" formatCode="_-&quot;R$&quot;\ * #,##0.00_-;\-&quot;R$&quot;\ * #,##0.00_-;_-&quot;R$&quot;\ * &quot;-&quot;??_-;_-@_-"/>
    <numFmt numFmtId="167" formatCode="&quot;R$&quot;#,##0.00"/>
    <numFmt numFmtId="168" formatCode="&quot;R$&quot;\ #,##0.00"/>
    <numFmt numFmtId="169" formatCode="0.0000%"/>
    <numFmt numFmtId="170" formatCode="#,##0.000_);[Red]\(#,##0.000\)"/>
    <numFmt numFmtId="171" formatCode="_-&quot;R$ &quot;* #,##0.00_-;&quot;-R$ &quot;* #,##0.00_-;_-&quot;R$ &quot;* \-??_-;_-@_-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i/>
      <sz val="12"/>
      <color rgb="FFFF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color rgb="FFFF0000"/>
      <name val="Arial"/>
      <family val="2"/>
    </font>
    <font>
      <b/>
      <i/>
      <sz val="9"/>
      <color rgb="FFFF0000"/>
      <name val="Arial"/>
      <family val="2"/>
    </font>
    <font>
      <i/>
      <sz val="11"/>
      <name val="Arial"/>
      <family val="2"/>
    </font>
    <font>
      <sz val="11"/>
      <name val="Calibri"/>
      <family val="2"/>
    </font>
    <font>
      <u/>
      <sz val="12"/>
      <name val="Arial"/>
      <family val="2"/>
    </font>
    <font>
      <sz val="12"/>
      <name val="Arial"/>
      <family val="2"/>
    </font>
    <font>
      <b/>
      <u/>
      <sz val="12"/>
      <name val="Arial Black"/>
      <family val="2"/>
    </font>
    <font>
      <b/>
      <i/>
      <sz val="12"/>
      <name val="Arial Black"/>
      <family val="2"/>
    </font>
    <font>
      <sz val="9"/>
      <name val="Arial"/>
      <family val="2"/>
    </font>
    <font>
      <vertAlign val="superscript"/>
      <sz val="10"/>
      <name val="Arial"/>
      <family val="2"/>
    </font>
    <font>
      <sz val="10"/>
      <name val="Calibri"/>
      <family val="2"/>
    </font>
    <font>
      <vertAlign val="superscript"/>
      <sz val="9"/>
      <name val="Arial"/>
      <family val="2"/>
    </font>
    <font>
      <sz val="8.5"/>
      <name val="Arial"/>
      <family val="2"/>
    </font>
    <font>
      <sz val="11"/>
      <color rgb="FF000000"/>
      <name val="Calibri"/>
      <family val="2"/>
      <charset val="1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1">
    <border>
      <left/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rgb="FFC0C0C0"/>
      </left>
      <right style="double">
        <color rgb="FFC0C0C0"/>
      </right>
      <top style="double">
        <color indexed="64"/>
      </top>
      <bottom style="double">
        <color rgb="FFC0C0C0"/>
      </bottom>
      <diagonal/>
    </border>
    <border>
      <left style="double">
        <color rgb="FFC0C0C0"/>
      </left>
      <right style="double">
        <color indexed="64"/>
      </right>
      <top style="double">
        <color indexed="64"/>
      </top>
      <bottom style="double">
        <color rgb="FFC0C0C0"/>
      </bottom>
      <diagonal/>
    </border>
    <border>
      <left style="double">
        <color indexed="64"/>
      </left>
      <right/>
      <top/>
      <bottom/>
      <diagonal/>
    </border>
    <border>
      <left style="double">
        <color rgb="FFC0C0C0"/>
      </left>
      <right style="double">
        <color rgb="FFC0C0C0"/>
      </right>
      <top/>
      <bottom style="double">
        <color rgb="FFC0C0C0"/>
      </bottom>
      <diagonal/>
    </border>
    <border>
      <left/>
      <right style="double">
        <color rgb="FFC0C0C0"/>
      </right>
      <top/>
      <bottom style="double">
        <color rgb="FFC0C0C0"/>
      </bottom>
      <diagonal/>
    </border>
    <border>
      <left style="double">
        <color rgb="FFC0C0C0"/>
      </left>
      <right/>
      <top/>
      <bottom style="double">
        <color rgb="FFC0C0C0"/>
      </bottom>
      <diagonal/>
    </border>
    <border>
      <left style="double">
        <color rgb="FFC0C0C0"/>
      </left>
      <right style="double">
        <color indexed="64"/>
      </right>
      <top style="double">
        <color rgb="FFC0C0C0"/>
      </top>
      <bottom style="double">
        <color rgb="FFC0C0C0"/>
      </bottom>
      <diagonal/>
    </border>
    <border>
      <left style="double">
        <color rgb="FFC0C0C0"/>
      </left>
      <right style="double">
        <color rgb="FFC0C0C0"/>
      </right>
      <top style="double">
        <color rgb="FFC0C0C0"/>
      </top>
      <bottom style="double">
        <color indexed="64"/>
      </bottom>
      <diagonal/>
    </border>
    <border>
      <left style="double">
        <color rgb="FFC0C0C0"/>
      </left>
      <right/>
      <top style="double">
        <color rgb="FFC0C0C0"/>
      </top>
      <bottom style="double">
        <color indexed="64"/>
      </bottom>
      <diagonal/>
    </border>
    <border>
      <left style="double">
        <color rgb="FFC0C0C0"/>
      </left>
      <right style="double">
        <color rgb="FFC0C0C0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rgb="FFC0C0C0"/>
      </left>
      <right style="double">
        <color rgb="FFC0C0C0"/>
      </right>
      <top style="double">
        <color indexed="64"/>
      </top>
      <bottom style="double">
        <color indexed="64"/>
      </bottom>
      <diagonal/>
    </border>
    <border>
      <left style="double">
        <color rgb="FFC0C0C0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C0C0C0"/>
      </left>
      <right/>
      <top style="double">
        <color indexed="64"/>
      </top>
      <bottom style="double">
        <color rgb="FFC0C0C0"/>
      </bottom>
      <diagonal/>
    </border>
    <border>
      <left/>
      <right/>
      <top/>
      <bottom style="double">
        <color rgb="FFC0C0C0"/>
      </bottom>
      <diagonal/>
    </border>
    <border>
      <left style="double">
        <color rgb="FFC0C0C0"/>
      </left>
      <right style="double">
        <color rgb="FFC0C0C0"/>
      </right>
      <top style="double">
        <color indexed="64"/>
      </top>
      <bottom/>
      <diagonal/>
    </border>
    <border>
      <left style="double">
        <color rgb="FFC0C0C0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166" fontId="5" fillId="0" borderId="0" applyFont="0" applyFill="0" applyBorder="0" applyAlignment="0" applyProtection="0"/>
    <xf numFmtId="171" fontId="24" fillId="0" borderId="0" applyBorder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8">
    <xf numFmtId="0" fontId="0" fillId="0" borderId="0" xfId="0"/>
    <xf numFmtId="0" fontId="1" fillId="0" borderId="2" xfId="3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2" fillId="0" borderId="4" xfId="3" applyFont="1" applyBorder="1" applyAlignment="1" applyProtection="1">
      <alignment horizontal="center" vertical="center"/>
      <protection locked="0"/>
    </xf>
    <xf numFmtId="0" fontId="2" fillId="2" borderId="5" xfId="3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4" fillId="3" borderId="7" xfId="3" applyFont="1" applyFill="1" applyBorder="1" applyAlignment="1" applyProtection="1">
      <alignment vertical="center"/>
      <protection locked="0"/>
    </xf>
    <xf numFmtId="4" fontId="4" fillId="3" borderId="8" xfId="3" applyNumberFormat="1" applyFont="1" applyFill="1" applyBorder="1" applyAlignment="1" applyProtection="1">
      <alignment horizontal="center" vertical="center"/>
      <protection locked="0"/>
    </xf>
    <xf numFmtId="0" fontId="4" fillId="3" borderId="9" xfId="3" applyFont="1" applyFill="1" applyBorder="1" applyAlignment="1" applyProtection="1">
      <alignment vertical="center"/>
      <protection locked="0"/>
    </xf>
    <xf numFmtId="0" fontId="4" fillId="3" borderId="10" xfId="3" applyFont="1" applyFill="1" applyBorder="1" applyAlignment="1" applyProtection="1">
      <alignment vertical="center"/>
      <protection locked="0"/>
    </xf>
    <xf numFmtId="0" fontId="4" fillId="3" borderId="11" xfId="3" applyFont="1" applyFill="1" applyBorder="1" applyAlignment="1" applyProtection="1">
      <alignment vertical="center"/>
      <protection locked="0"/>
    </xf>
    <xf numFmtId="4" fontId="4" fillId="3" borderId="11" xfId="3" applyNumberFormat="1" applyFont="1" applyFill="1" applyBorder="1" applyAlignment="1" applyProtection="1">
      <alignment horizontal="center" vertical="center"/>
      <protection locked="0"/>
    </xf>
    <xf numFmtId="0" fontId="4" fillId="3" borderId="12" xfId="3" applyFont="1" applyFill="1" applyBorder="1" applyAlignment="1" applyProtection="1">
      <alignment vertical="center"/>
      <protection locked="0"/>
    </xf>
    <xf numFmtId="0" fontId="2" fillId="4" borderId="13" xfId="3" applyFont="1" applyFill="1" applyBorder="1" applyAlignment="1" applyProtection="1">
      <alignment horizontal="center" vertical="center" wrapText="1"/>
      <protection locked="0"/>
    </xf>
    <xf numFmtId="0" fontId="1" fillId="0" borderId="14" xfId="3" applyBorder="1" applyProtection="1">
      <protection locked="0"/>
    </xf>
    <xf numFmtId="0" fontId="4" fillId="0" borderId="15" xfId="3" applyFont="1" applyBorder="1" applyAlignment="1" applyProtection="1">
      <alignment vertical="center" wrapText="1"/>
      <protection locked="0"/>
    </xf>
    <xf numFmtId="0" fontId="4" fillId="0" borderId="16" xfId="3" applyFont="1" applyBorder="1" applyAlignment="1" applyProtection="1">
      <alignment horizontal="center" vertical="center"/>
      <protection locked="0"/>
    </xf>
    <xf numFmtId="0" fontId="1" fillId="0" borderId="6" xfId="3" applyBorder="1" applyAlignment="1" applyProtection="1">
      <alignment horizontal="center" vertical="center"/>
      <protection locked="0"/>
    </xf>
    <xf numFmtId="0" fontId="2" fillId="2" borderId="17" xfId="3" applyFont="1" applyFill="1" applyBorder="1" applyAlignment="1" applyProtection="1">
      <alignment horizontal="center" vertical="center"/>
      <protection locked="0"/>
    </xf>
    <xf numFmtId="0" fontId="4" fillId="3" borderId="7" xfId="4" applyFont="1" applyFill="1" applyBorder="1" applyAlignment="1" applyProtection="1">
      <alignment vertical="center" wrapText="1"/>
      <protection locked="0"/>
    </xf>
    <xf numFmtId="168" fontId="4" fillId="3" borderId="8" xfId="4" applyNumberFormat="1" applyFont="1" applyFill="1" applyBorder="1" applyAlignment="1" applyProtection="1">
      <alignment horizontal="center" vertical="center"/>
      <protection locked="0"/>
    </xf>
    <xf numFmtId="0" fontId="4" fillId="3" borderId="7" xfId="3" applyFont="1" applyFill="1" applyBorder="1" applyAlignment="1" applyProtection="1">
      <alignment vertical="center" wrapText="1"/>
      <protection locked="0"/>
    </xf>
    <xf numFmtId="168" fontId="4" fillId="3" borderId="8" xfId="3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1" fillId="3" borderId="18" xfId="3" applyFill="1" applyBorder="1" applyAlignment="1" applyProtection="1">
      <alignment horizontal="center" vertical="center"/>
      <protection locked="0"/>
    </xf>
    <xf numFmtId="0" fontId="2" fillId="4" borderId="19" xfId="3" applyFont="1" applyFill="1" applyBorder="1" applyAlignment="1" applyProtection="1">
      <alignment horizontal="center" vertical="center"/>
      <protection locked="0"/>
    </xf>
    <xf numFmtId="0" fontId="0" fillId="0" borderId="14" xfId="0" applyBorder="1" applyProtection="1">
      <protection locked="0"/>
    </xf>
    <xf numFmtId="0" fontId="1" fillId="0" borderId="6" xfId="3" applyBorder="1" applyProtection="1">
      <protection locked="0"/>
    </xf>
    <xf numFmtId="169" fontId="4" fillId="3" borderId="18" xfId="4" applyNumberFormat="1" applyFont="1" applyFill="1" applyBorder="1" applyAlignment="1" applyProtection="1">
      <alignment horizontal="center" vertical="center"/>
      <protection locked="0"/>
    </xf>
    <xf numFmtId="169" fontId="4" fillId="3" borderId="18" xfId="3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Protection="1">
      <protection locked="0"/>
    </xf>
    <xf numFmtId="43" fontId="0" fillId="0" borderId="0" xfId="1" applyFont="1" applyProtection="1">
      <protection locked="0"/>
    </xf>
    <xf numFmtId="169" fontId="10" fillId="3" borderId="27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169" fontId="10" fillId="3" borderId="2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18" fillId="0" borderId="4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4" fontId="18" fillId="0" borderId="31" xfId="0" applyNumberFormat="1" applyFont="1" applyBorder="1" applyAlignment="1">
      <alignment horizontal="center" vertical="center"/>
    </xf>
    <xf numFmtId="0" fontId="18" fillId="0" borderId="24" xfId="0" applyFont="1" applyBorder="1" applyAlignment="1">
      <alignment horizontal="left" vertical="center"/>
    </xf>
    <xf numFmtId="0" fontId="6" fillId="7" borderId="41" xfId="0" applyFont="1" applyFill="1" applyBorder="1" applyAlignment="1">
      <alignment horizontal="left" vertical="center"/>
    </xf>
    <xf numFmtId="0" fontId="6" fillId="7" borderId="42" xfId="0" applyFont="1" applyFill="1" applyBorder="1" applyAlignment="1">
      <alignment horizontal="center" vertical="center"/>
    </xf>
    <xf numFmtId="0" fontId="5" fillId="0" borderId="43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4" xfId="0" applyFont="1" applyBorder="1" applyAlignment="1">
      <alignment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6" fillId="7" borderId="41" xfId="0" applyFont="1" applyFill="1" applyBorder="1" applyAlignment="1">
      <alignment vertical="center"/>
    </xf>
    <xf numFmtId="4" fontId="6" fillId="7" borderId="42" xfId="0" applyNumberFormat="1" applyFont="1" applyFill="1" applyBorder="1" applyAlignment="1">
      <alignment horizontal="center" vertical="center"/>
    </xf>
    <xf numFmtId="0" fontId="6" fillId="7" borderId="45" xfId="0" applyFont="1" applyFill="1" applyBorder="1" applyAlignment="1">
      <alignment horizontal="center" vertical="center"/>
    </xf>
    <xf numFmtId="0" fontId="5" fillId="0" borderId="46" xfId="0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44" fontId="5" fillId="0" borderId="27" xfId="1" applyNumberFormat="1" applyFont="1" applyFill="1" applyBorder="1" applyAlignment="1" applyProtection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left" vertical="center" wrapText="1"/>
    </xf>
    <xf numFmtId="0" fontId="6" fillId="7" borderId="43" xfId="0" applyFont="1" applyFill="1" applyBorder="1" applyAlignment="1">
      <alignment vertical="center"/>
    </xf>
    <xf numFmtId="0" fontId="6" fillId="7" borderId="29" xfId="0" applyFont="1" applyFill="1" applyBorder="1" applyAlignment="1">
      <alignment horizontal="center" vertical="center"/>
    </xf>
    <xf numFmtId="43" fontId="6" fillId="7" borderId="29" xfId="1" applyFont="1" applyFill="1" applyBorder="1" applyAlignment="1" applyProtection="1">
      <alignment horizontal="center" vertical="center"/>
    </xf>
    <xf numFmtId="44" fontId="6" fillId="7" borderId="29" xfId="0" applyNumberFormat="1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left" vertical="top"/>
    </xf>
    <xf numFmtId="10" fontId="5" fillId="0" borderId="0" xfId="2" applyNumberFormat="1" applyFont="1" applyBorder="1" applyAlignment="1" applyProtection="1">
      <alignment vertical="center"/>
    </xf>
    <xf numFmtId="43" fontId="5" fillId="0" borderId="0" xfId="0" applyNumberFormat="1" applyFont="1" applyAlignment="1">
      <alignment vertical="center"/>
    </xf>
    <xf numFmtId="44" fontId="5" fillId="0" borderId="27" xfId="1" applyNumberFormat="1" applyFont="1" applyBorder="1" applyAlignment="1" applyProtection="1">
      <alignment horizontal="center" vertical="center"/>
    </xf>
    <xf numFmtId="0" fontId="5" fillId="0" borderId="25" xfId="0" applyFont="1" applyBorder="1"/>
    <xf numFmtId="0" fontId="5" fillId="0" borderId="47" xfId="0" applyFont="1" applyBorder="1" applyAlignment="1">
      <alignment vertical="center"/>
    </xf>
    <xf numFmtId="0" fontId="5" fillId="0" borderId="46" xfId="0" applyFont="1" applyBorder="1" applyAlignment="1">
      <alignment vertical="center" wrapText="1"/>
    </xf>
    <xf numFmtId="169" fontId="5" fillId="0" borderId="27" xfId="2" applyNumberFormat="1" applyFont="1" applyFill="1" applyBorder="1" applyAlignment="1" applyProtection="1">
      <alignment horizontal="center" vertical="center"/>
    </xf>
    <xf numFmtId="0" fontId="19" fillId="0" borderId="47" xfId="0" applyFont="1" applyBorder="1" applyAlignment="1">
      <alignment vertical="center"/>
    </xf>
    <xf numFmtId="169" fontId="6" fillId="7" borderId="29" xfId="2" applyNumberFormat="1" applyFont="1" applyFill="1" applyBorder="1" applyAlignment="1" applyProtection="1">
      <alignment horizontal="center" vertical="center"/>
    </xf>
    <xf numFmtId="44" fontId="6" fillId="7" borderId="29" xfId="1" applyNumberFormat="1" applyFont="1" applyFill="1" applyBorder="1" applyAlignment="1" applyProtection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47" xfId="0" applyFont="1" applyBorder="1" applyAlignment="1">
      <alignment horizontal="left" vertical="center"/>
    </xf>
    <xf numFmtId="170" fontId="5" fillId="0" borderId="44" xfId="2" applyNumberFormat="1" applyFont="1" applyBorder="1" applyAlignment="1" applyProtection="1">
      <alignment horizontal="center" vertical="center"/>
    </xf>
    <xf numFmtId="170" fontId="5" fillId="0" borderId="0" xfId="2" applyNumberFormat="1" applyFont="1" applyBorder="1" applyAlignment="1" applyProtection="1">
      <alignment horizontal="center" vertical="center"/>
    </xf>
    <xf numFmtId="4" fontId="5" fillId="0" borderId="0" xfId="2" applyNumberFormat="1" applyFont="1" applyBorder="1" applyAlignment="1" applyProtection="1">
      <alignment horizontal="center" vertical="center"/>
    </xf>
    <xf numFmtId="170" fontId="5" fillId="0" borderId="25" xfId="2" applyNumberFormat="1" applyFont="1" applyBorder="1" applyAlignment="1" applyProtection="1">
      <alignment horizontal="center" vertical="center"/>
    </xf>
    <xf numFmtId="0" fontId="5" fillId="8" borderId="27" xfId="0" applyFont="1" applyFill="1" applyBorder="1" applyAlignment="1">
      <alignment horizontal="center" vertical="center" wrapText="1"/>
    </xf>
    <xf numFmtId="169" fontId="5" fillId="0" borderId="27" xfId="2" quotePrefix="1" applyNumberFormat="1" applyFont="1" applyFill="1" applyBorder="1" applyAlignment="1" applyProtection="1">
      <alignment horizontal="center" vertical="center"/>
    </xf>
    <xf numFmtId="0" fontId="19" fillId="0" borderId="27" xfId="0" applyFont="1" applyBorder="1" applyAlignment="1">
      <alignment horizontal="center" vertical="center" wrapText="1"/>
    </xf>
    <xf numFmtId="44" fontId="6" fillId="7" borderId="27" xfId="1" applyNumberFormat="1" applyFont="1" applyFill="1" applyBorder="1" applyAlignment="1" applyProtection="1">
      <alignment horizontal="center" vertical="center"/>
    </xf>
    <xf numFmtId="169" fontId="5" fillId="0" borderId="0" xfId="2" quotePrefix="1" applyNumberFormat="1" applyFont="1" applyFill="1" applyBorder="1" applyAlignment="1" applyProtection="1">
      <alignment horizontal="center" vertical="center"/>
    </xf>
    <xf numFmtId="44" fontId="5" fillId="0" borderId="35" xfId="1" applyNumberFormat="1" applyFont="1" applyFill="1" applyBorder="1" applyAlignment="1" applyProtection="1">
      <alignment horizontal="center" vertical="center"/>
    </xf>
    <xf numFmtId="0" fontId="5" fillId="0" borderId="49" xfId="0" applyFont="1" applyBorder="1" applyAlignment="1">
      <alignment horizontal="left" vertical="center"/>
    </xf>
    <xf numFmtId="169" fontId="5" fillId="0" borderId="35" xfId="2" quotePrefix="1" applyNumberFormat="1" applyFont="1" applyFill="1" applyBorder="1" applyAlignment="1" applyProtection="1">
      <alignment horizontal="center" vertical="center"/>
    </xf>
    <xf numFmtId="169" fontId="5" fillId="0" borderId="27" xfId="0" quotePrefix="1" applyNumberFormat="1" applyFont="1" applyBorder="1" applyAlignment="1">
      <alignment horizontal="center" vertical="center"/>
    </xf>
    <xf numFmtId="0" fontId="22" fillId="0" borderId="44" xfId="0" applyFont="1" applyBorder="1" applyAlignment="1">
      <alignment horizontal="left" vertical="top" wrapText="1"/>
    </xf>
    <xf numFmtId="0" fontId="19" fillId="0" borderId="44" xfId="0" applyFont="1" applyBorder="1" applyAlignment="1">
      <alignment horizontal="left" vertical="top" wrapText="1"/>
    </xf>
    <xf numFmtId="0" fontId="6" fillId="7" borderId="27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 vertical="center"/>
    </xf>
    <xf numFmtId="4" fontId="6" fillId="7" borderId="27" xfId="0" applyNumberFormat="1" applyFont="1" applyFill="1" applyBorder="1" applyAlignment="1">
      <alignment horizontal="center" vertical="center"/>
    </xf>
    <xf numFmtId="0" fontId="19" fillId="0" borderId="27" xfId="0" applyFont="1" applyBorder="1" applyAlignment="1">
      <alignment horizontal="left" vertical="top"/>
    </xf>
    <xf numFmtId="0" fontId="6" fillId="7" borderId="22" xfId="0" applyFont="1" applyFill="1" applyBorder="1" applyAlignment="1">
      <alignment vertical="center"/>
    </xf>
    <xf numFmtId="169" fontId="6" fillId="7" borderId="52" xfId="2" quotePrefix="1" applyNumberFormat="1" applyFont="1" applyFill="1" applyBorder="1" applyAlignment="1" applyProtection="1">
      <alignment horizontal="center" vertical="center"/>
    </xf>
    <xf numFmtId="0" fontId="6" fillId="7" borderId="52" xfId="0" applyFont="1" applyFill="1" applyBorder="1" applyAlignment="1">
      <alignment horizontal="center" vertical="center"/>
    </xf>
    <xf numFmtId="44" fontId="6" fillId="7" borderId="52" xfId="1" applyNumberFormat="1" applyFont="1" applyFill="1" applyBorder="1" applyAlignment="1" applyProtection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4" fontId="5" fillId="0" borderId="0" xfId="1" applyNumberFormat="1" applyFont="1" applyBorder="1" applyAlignment="1" applyProtection="1">
      <alignment horizontal="center" vertical="center"/>
    </xf>
    <xf numFmtId="0" fontId="6" fillId="7" borderId="42" xfId="0" quotePrefix="1" applyFont="1" applyFill="1" applyBorder="1" applyAlignment="1">
      <alignment horizontal="center" vertical="center"/>
    </xf>
    <xf numFmtId="44" fontId="5" fillId="0" borderId="33" xfId="0" quotePrefix="1" applyNumberFormat="1" applyFont="1" applyBorder="1" applyAlignment="1">
      <alignment horizontal="center" vertical="center"/>
    </xf>
    <xf numFmtId="0" fontId="5" fillId="0" borderId="48" xfId="0" applyFont="1" applyBorder="1" applyAlignment="1">
      <alignment vertical="center" wrapText="1"/>
    </xf>
    <xf numFmtId="44" fontId="5" fillId="7" borderId="29" xfId="0" quotePrefix="1" applyNumberFormat="1" applyFont="1" applyFill="1" applyBorder="1" applyAlignment="1">
      <alignment horizontal="center" vertical="center"/>
    </xf>
    <xf numFmtId="0" fontId="6" fillId="7" borderId="55" xfId="0" quotePrefix="1" applyFont="1" applyFill="1" applyBorder="1" applyAlignment="1">
      <alignment horizontal="center" vertical="center"/>
    </xf>
    <xf numFmtId="44" fontId="5" fillId="0" borderId="27" xfId="0" quotePrefix="1" applyNumberFormat="1" applyFont="1" applyBorder="1" applyAlignment="1">
      <alignment horizontal="center" vertical="center"/>
    </xf>
    <xf numFmtId="44" fontId="5" fillId="7" borderId="28" xfId="0" quotePrefix="1" applyNumberFormat="1" applyFont="1" applyFill="1" applyBorder="1" applyAlignment="1">
      <alignment horizontal="center" vertical="center"/>
    </xf>
    <xf numFmtId="0" fontId="6" fillId="7" borderId="37" xfId="0" applyFont="1" applyFill="1" applyBorder="1" applyAlignment="1">
      <alignment vertical="center"/>
    </xf>
    <xf numFmtId="44" fontId="5" fillId="7" borderId="52" xfId="0" quotePrefix="1" applyNumberFormat="1" applyFont="1" applyFill="1" applyBorder="1" applyAlignment="1">
      <alignment horizontal="center" vertical="center"/>
    </xf>
    <xf numFmtId="0" fontId="5" fillId="0" borderId="56" xfId="0" applyFont="1" applyBorder="1" applyAlignment="1">
      <alignment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0" xfId="0" applyFont="1" applyBorder="1" applyAlignment="1">
      <alignment vertical="center" wrapText="1"/>
    </xf>
    <xf numFmtId="4" fontId="5" fillId="0" borderId="50" xfId="0" applyNumberFormat="1" applyFont="1" applyBorder="1" applyAlignment="1">
      <alignment horizontal="center" vertical="center" wrapText="1"/>
    </xf>
    <xf numFmtId="0" fontId="6" fillId="7" borderId="22" xfId="0" applyFont="1" applyFill="1" applyBorder="1" applyAlignment="1">
      <alignment vertical="center" wrapText="1"/>
    </xf>
    <xf numFmtId="170" fontId="6" fillId="7" borderId="52" xfId="2" applyNumberFormat="1" applyFont="1" applyFill="1" applyBorder="1" applyAlignment="1" applyProtection="1">
      <alignment horizontal="center" vertical="center"/>
    </xf>
    <xf numFmtId="168" fontId="6" fillId="7" borderId="52" xfId="1" applyNumberFormat="1" applyFont="1" applyFill="1" applyBorder="1" applyAlignment="1" applyProtection="1">
      <alignment horizontal="center" vertical="center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4" fontId="5" fillId="0" borderId="38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vertical="center"/>
    </xf>
    <xf numFmtId="44" fontId="5" fillId="0" borderId="27" xfId="0" applyNumberFormat="1" applyFont="1" applyBorder="1" applyAlignment="1">
      <alignment horizontal="center" vertical="center"/>
    </xf>
    <xf numFmtId="0" fontId="5" fillId="0" borderId="56" xfId="0" applyFont="1" applyBorder="1" applyAlignment="1">
      <alignment vertical="top"/>
    </xf>
    <xf numFmtId="0" fontId="6" fillId="7" borderId="57" xfId="0" applyFont="1" applyFill="1" applyBorder="1" applyAlignment="1">
      <alignment vertical="center"/>
    </xf>
    <xf numFmtId="0" fontId="6" fillId="7" borderId="58" xfId="0" applyFont="1" applyFill="1" applyBorder="1" applyAlignment="1">
      <alignment vertical="center"/>
    </xf>
    <xf numFmtId="170" fontId="6" fillId="7" borderId="59" xfId="2" applyNumberFormat="1" applyFont="1" applyFill="1" applyBorder="1" applyAlignment="1" applyProtection="1">
      <alignment horizontal="center" vertical="center"/>
    </xf>
    <xf numFmtId="4" fontId="6" fillId="7" borderId="59" xfId="2" applyNumberFormat="1" applyFont="1" applyFill="1" applyBorder="1" applyAlignment="1" applyProtection="1">
      <alignment horizontal="center" vertical="center"/>
    </xf>
    <xf numFmtId="0" fontId="6" fillId="0" borderId="22" xfId="0" applyFont="1" applyBorder="1" applyAlignment="1">
      <alignment vertical="center" wrapText="1"/>
    </xf>
    <xf numFmtId="170" fontId="6" fillId="0" borderId="52" xfId="2" applyNumberFormat="1" applyFont="1" applyFill="1" applyBorder="1" applyAlignment="1" applyProtection="1">
      <alignment horizontal="center" vertical="center"/>
    </xf>
    <xf numFmtId="168" fontId="6" fillId="0" borderId="52" xfId="1" applyNumberFormat="1" applyFont="1" applyFill="1" applyBorder="1" applyAlignment="1" applyProtection="1">
      <alignment horizontal="center" vertical="center"/>
    </xf>
    <xf numFmtId="168" fontId="6" fillId="0" borderId="30" xfId="1" applyNumberFormat="1" applyFont="1" applyFill="1" applyBorder="1" applyAlignment="1" applyProtection="1">
      <alignment horizontal="center" vertical="center"/>
    </xf>
    <xf numFmtId="4" fontId="5" fillId="0" borderId="0" xfId="0" applyNumberFormat="1" applyFont="1" applyAlignment="1">
      <alignment horizontal="center"/>
    </xf>
    <xf numFmtId="0" fontId="0" fillId="0" borderId="54" xfId="0" applyBorder="1" applyAlignment="1">
      <alignment horizontal="center" vertical="center"/>
    </xf>
    <xf numFmtId="0" fontId="1" fillId="0" borderId="0" xfId="3" applyProtection="1">
      <protection locked="0"/>
    </xf>
    <xf numFmtId="0" fontId="2" fillId="0" borderId="7" xfId="3" applyFont="1" applyBorder="1" applyAlignment="1" applyProtection="1">
      <alignment horizontal="center" vertical="center" wrapText="1"/>
      <protection locked="0"/>
    </xf>
    <xf numFmtId="0" fontId="2" fillId="0" borderId="9" xfId="3" applyFont="1" applyBorder="1" applyAlignment="1" applyProtection="1">
      <alignment horizontal="center" vertical="center"/>
      <protection locked="0"/>
    </xf>
    <xf numFmtId="0" fontId="2" fillId="4" borderId="15" xfId="3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vertical="top"/>
    </xf>
    <xf numFmtId="0" fontId="19" fillId="0" borderId="50" xfId="0" applyFont="1" applyBorder="1" applyAlignment="1">
      <alignment horizontal="left" vertical="top"/>
    </xf>
    <xf numFmtId="0" fontId="19" fillId="0" borderId="51" xfId="0" applyFont="1" applyBorder="1" applyAlignment="1">
      <alignment horizontal="left" vertical="top"/>
    </xf>
    <xf numFmtId="167" fontId="2" fillId="4" borderId="0" xfId="3" applyNumberFormat="1" applyFont="1" applyFill="1" applyAlignment="1" applyProtection="1">
      <alignment horizontal="center" vertical="center"/>
      <protection locked="0"/>
    </xf>
    <xf numFmtId="168" fontId="2" fillId="4" borderId="60" xfId="3" applyNumberFormat="1" applyFont="1" applyFill="1" applyBorder="1" applyAlignment="1" applyProtection="1">
      <alignment horizontal="center" vertical="center"/>
      <protection locked="0"/>
    </xf>
    <xf numFmtId="169" fontId="2" fillId="4" borderId="20" xfId="3" applyNumberFormat="1" applyFont="1" applyFill="1" applyBorder="1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left" vertical="center" wrapText="1"/>
    </xf>
    <xf numFmtId="169" fontId="5" fillId="0" borderId="35" xfId="2" applyNumberFormat="1" applyFont="1" applyFill="1" applyBorder="1" applyAlignment="1" applyProtection="1">
      <alignment horizontal="center" vertical="center"/>
    </xf>
    <xf numFmtId="169" fontId="5" fillId="0" borderId="0" xfId="2" applyNumberFormat="1" applyFont="1" applyFill="1" applyBorder="1" applyAlignment="1" applyProtection="1">
      <alignment horizontal="center" vertical="center"/>
    </xf>
    <xf numFmtId="44" fontId="5" fillId="0" borderId="29" xfId="1" applyNumberFormat="1" applyFont="1" applyFill="1" applyBorder="1" applyAlignment="1" applyProtection="1">
      <alignment horizontal="center" vertical="center"/>
    </xf>
    <xf numFmtId="0" fontId="4" fillId="3" borderId="11" xfId="3" applyFont="1" applyFill="1" applyBorder="1" applyAlignment="1" applyProtection="1">
      <alignment horizontal="center" vertical="center" wrapText="1"/>
      <protection locked="0"/>
    </xf>
    <xf numFmtId="0" fontId="5" fillId="0" borderId="35" xfId="0" applyFont="1" applyBorder="1" applyAlignment="1">
      <alignment horizontal="center" vertical="center" wrapText="1"/>
    </xf>
    <xf numFmtId="0" fontId="2" fillId="2" borderId="1" xfId="3" applyFont="1" applyFill="1" applyBorder="1" applyAlignment="1" applyProtection="1">
      <alignment horizontal="center" vertical="center"/>
      <protection locked="0"/>
    </xf>
    <xf numFmtId="0" fontId="1" fillId="0" borderId="2" xfId="3" applyBorder="1" applyProtection="1">
      <protection locked="0"/>
    </xf>
    <xf numFmtId="0" fontId="1" fillId="0" borderId="3" xfId="3" applyBorder="1" applyProtection="1"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22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25" xfId="0" applyFont="1" applyBorder="1" applyAlignment="1">
      <alignment horizontal="left" vertical="top"/>
    </xf>
    <xf numFmtId="0" fontId="17" fillId="7" borderId="37" xfId="0" applyFont="1" applyFill="1" applyBorder="1" applyAlignment="1">
      <alignment horizontal="center" vertical="center"/>
    </xf>
    <xf numFmtId="0" fontId="17" fillId="7" borderId="38" xfId="0" applyFont="1" applyFill="1" applyBorder="1" applyAlignment="1">
      <alignment horizontal="center" vertical="center"/>
    </xf>
    <xf numFmtId="0" fontId="17" fillId="7" borderId="39" xfId="0" applyFont="1" applyFill="1" applyBorder="1" applyAlignment="1">
      <alignment horizontal="center" vertical="center"/>
    </xf>
    <xf numFmtId="0" fontId="6" fillId="7" borderId="40" xfId="0" applyFont="1" applyFill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24" xfId="0" applyBorder="1" applyAlignment="1">
      <alignment vertical="center"/>
    </xf>
    <xf numFmtId="0" fontId="19" fillId="0" borderId="31" xfId="0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/>
    <xf numFmtId="0" fontId="0" fillId="0" borderId="25" xfId="0" applyBorder="1"/>
    <xf numFmtId="0" fontId="19" fillId="0" borderId="31" xfId="0" applyFont="1" applyBorder="1" applyAlignment="1">
      <alignment vertical="top"/>
    </xf>
    <xf numFmtId="0" fontId="19" fillId="0" borderId="24" xfId="0" applyFont="1" applyBorder="1" applyAlignment="1">
      <alignment vertical="top"/>
    </xf>
    <xf numFmtId="0" fontId="5" fillId="0" borderId="49" xfId="0" applyFont="1" applyBorder="1" applyAlignment="1">
      <alignment horizontal="left" vertical="center" wrapText="1"/>
    </xf>
    <xf numFmtId="0" fontId="25" fillId="0" borderId="53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70" fontId="23" fillId="0" borderId="35" xfId="2" applyNumberFormat="1" applyFont="1" applyFill="1" applyBorder="1" applyAlignment="1" applyProtection="1">
      <alignment horizontal="center" vertical="center"/>
    </xf>
    <xf numFmtId="0" fontId="23" fillId="0" borderId="54" xfId="0" applyFont="1" applyBorder="1"/>
    <xf numFmtId="0" fontId="22" fillId="0" borderId="40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22" fillId="0" borderId="31" xfId="0" applyFont="1" applyBorder="1" applyAlignment="1">
      <alignment horizontal="left" vertical="top" wrapText="1"/>
    </xf>
    <xf numFmtId="0" fontId="19" fillId="0" borderId="37" xfId="0" applyFont="1" applyBorder="1" applyAlignment="1">
      <alignment vertical="center" wrapText="1"/>
    </xf>
    <xf numFmtId="0" fontId="19" fillId="0" borderId="38" xfId="0" applyFont="1" applyBorder="1" applyAlignment="1">
      <alignment vertical="center" wrapText="1"/>
    </xf>
    <xf numFmtId="0" fontId="19" fillId="0" borderId="39" xfId="0" applyFont="1" applyBorder="1" applyAlignment="1">
      <alignment vertical="center" wrapText="1"/>
    </xf>
    <xf numFmtId="0" fontId="22" fillId="0" borderId="37" xfId="0" applyFont="1" applyBorder="1" applyAlignment="1">
      <alignment vertical="top"/>
    </xf>
    <xf numFmtId="0" fontId="0" fillId="0" borderId="38" xfId="0" applyBorder="1"/>
    <xf numFmtId="0" fontId="0" fillId="0" borderId="0" xfId="0" applyProtection="1"/>
    <xf numFmtId="0" fontId="7" fillId="0" borderId="0" xfId="0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7" fillId="5" borderId="26" xfId="0" applyFont="1" applyFill="1" applyBorder="1" applyAlignment="1" applyProtection="1">
      <alignment horizontal="center" vertical="center"/>
    </xf>
    <xf numFmtId="0" fontId="7" fillId="5" borderId="32" xfId="0" applyFont="1" applyFill="1" applyBorder="1" applyAlignment="1" applyProtection="1">
      <alignment horizontal="center" vertical="center"/>
    </xf>
    <xf numFmtId="0" fontId="7" fillId="5" borderId="33" xfId="0" applyFont="1" applyFill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/>
    </xf>
    <xf numFmtId="0" fontId="6" fillId="0" borderId="34" xfId="0" applyFont="1" applyBorder="1" applyAlignment="1" applyProtection="1">
      <alignment horizontal="center" vertical="center"/>
    </xf>
    <xf numFmtId="0" fontId="3" fillId="3" borderId="26" xfId="0" applyFont="1" applyFill="1" applyBorder="1" applyAlignment="1" applyProtection="1">
      <alignment horizontal="left" vertical="center"/>
    </xf>
    <xf numFmtId="0" fontId="0" fillId="0" borderId="32" xfId="0" applyBorder="1" applyAlignment="1" applyProtection="1">
      <alignment horizontal="left" vertical="center"/>
    </xf>
    <xf numFmtId="0" fontId="0" fillId="0" borderId="33" xfId="0" applyBorder="1" applyProtection="1"/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0" fontId="6" fillId="6" borderId="27" xfId="0" applyFont="1" applyFill="1" applyBorder="1" applyAlignment="1" applyProtection="1">
      <alignment horizontal="center" vertical="center" wrapText="1"/>
    </xf>
    <xf numFmtId="0" fontId="8" fillId="6" borderId="27" xfId="0" applyFont="1" applyFill="1" applyBorder="1" applyAlignment="1" applyProtection="1">
      <alignment horizontal="center" vertical="center" wrapText="1"/>
    </xf>
    <xf numFmtId="0" fontId="9" fillId="0" borderId="27" xfId="0" applyFont="1" applyBorder="1" applyAlignment="1" applyProtection="1">
      <alignment vertical="center"/>
    </xf>
    <xf numFmtId="4" fontId="9" fillId="0" borderId="27" xfId="0" applyNumberFormat="1" applyFont="1" applyBorder="1" applyAlignment="1" applyProtection="1">
      <alignment horizontal="center" vertical="center"/>
    </xf>
    <xf numFmtId="4" fontId="10" fillId="0" borderId="27" xfId="0" applyNumberFormat="1" applyFont="1" applyBorder="1" applyAlignment="1" applyProtection="1">
      <alignment horizontal="center" vertical="center"/>
    </xf>
    <xf numFmtId="3" fontId="10" fillId="0" borderId="27" xfId="0" applyNumberFormat="1" applyFont="1" applyBorder="1" applyAlignment="1" applyProtection="1">
      <alignment horizontal="center" vertical="center"/>
    </xf>
    <xf numFmtId="3" fontId="6" fillId="0" borderId="0" xfId="0" applyNumberFormat="1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8" fillId="6" borderId="27" xfId="0" applyFont="1" applyFill="1" applyBorder="1" applyAlignment="1" applyProtection="1">
      <alignment horizontal="right" vertical="center"/>
    </xf>
    <xf numFmtId="43" fontId="8" fillId="6" borderId="27" xfId="0" applyNumberFormat="1" applyFont="1" applyFill="1" applyBorder="1" applyAlignment="1" applyProtection="1">
      <alignment horizontal="center" vertical="center"/>
    </xf>
    <xf numFmtId="43" fontId="8" fillId="9" borderId="2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43" fontId="7" fillId="0" borderId="0" xfId="0" applyNumberFormat="1" applyFont="1" applyAlignment="1" applyProtection="1">
      <alignment horizontal="center" vertical="center"/>
    </xf>
    <xf numFmtId="43" fontId="11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8" fillId="6" borderId="27" xfId="0" applyFont="1" applyFill="1" applyBorder="1" applyAlignment="1" applyProtection="1">
      <alignment horizontal="left" vertical="center"/>
    </xf>
    <xf numFmtId="0" fontId="8" fillId="6" borderId="27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27" xfId="0" applyFont="1" applyBorder="1" applyProtection="1"/>
    <xf numFmtId="168" fontId="10" fillId="0" borderId="0" xfId="0" applyNumberFormat="1" applyFont="1" applyAlignment="1" applyProtection="1">
      <alignment horizontal="center" vertical="center"/>
    </xf>
    <xf numFmtId="169" fontId="10" fillId="0" borderId="27" xfId="0" applyNumberFormat="1" applyFont="1" applyBorder="1" applyAlignment="1" applyProtection="1">
      <alignment horizontal="center" vertical="center"/>
    </xf>
    <xf numFmtId="168" fontId="10" fillId="0" borderId="0" xfId="0" applyNumberFormat="1" applyFont="1" applyAlignment="1" applyProtection="1">
      <alignment horizontal="center"/>
    </xf>
    <xf numFmtId="0" fontId="12" fillId="0" borderId="0" xfId="0" applyFont="1" applyAlignment="1" applyProtection="1">
      <alignment horizontal="left" vertical="top" wrapText="1"/>
    </xf>
    <xf numFmtId="0" fontId="8" fillId="6" borderId="27" xfId="0" applyFont="1" applyFill="1" applyBorder="1" applyAlignment="1" applyProtection="1">
      <alignment horizontal="left" wrapText="1"/>
    </xf>
    <xf numFmtId="0" fontId="13" fillId="0" borderId="0" xfId="0" applyFont="1" applyAlignment="1" applyProtection="1">
      <alignment horizontal="center" vertical="center" wrapText="1"/>
    </xf>
    <xf numFmtId="0" fontId="10" fillId="0" borderId="27" xfId="0" applyFont="1" applyBorder="1" applyAlignment="1" applyProtection="1">
      <alignment wrapText="1"/>
    </xf>
    <xf numFmtId="0" fontId="14" fillId="0" borderId="0" xfId="0" applyFont="1" applyAlignment="1" applyProtection="1">
      <alignment vertical="center" wrapText="1"/>
    </xf>
    <xf numFmtId="0" fontId="10" fillId="0" borderId="0" xfId="0" applyFont="1" applyProtection="1"/>
    <xf numFmtId="0" fontId="10" fillId="0" borderId="0" xfId="0" applyFont="1" applyAlignment="1" applyProtection="1">
      <alignment horizontal="center" vertical="center"/>
    </xf>
    <xf numFmtId="0" fontId="8" fillId="6" borderId="2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/>
    <xf numFmtId="0" fontId="0" fillId="0" borderId="0" xfId="0" applyAlignment="1" applyProtection="1">
      <alignment horizontal="left" vertical="top" wrapText="1"/>
    </xf>
    <xf numFmtId="0" fontId="15" fillId="0" borderId="0" xfId="0" applyFont="1" applyProtection="1"/>
    <xf numFmtId="0" fontId="16" fillId="0" borderId="0" xfId="0" applyFont="1" applyProtection="1"/>
    <xf numFmtId="49" fontId="16" fillId="0" borderId="0" xfId="0" applyNumberFormat="1" applyFont="1" applyProtection="1"/>
  </cellXfs>
  <cellStyles count="10">
    <cellStyle name="Moeda 2" xfId="6" xr:uid="{19837411-D580-4D81-B798-C444918C1AD8}"/>
    <cellStyle name="Moeda 3" xfId="9" xr:uid="{FACC2188-275A-4AA9-822D-8E48E5D9623F}"/>
    <cellStyle name="Moeda 4" xfId="7" xr:uid="{B35B4CA4-929E-4015-8B41-71360933277B}"/>
    <cellStyle name="Normal" xfId="0" builtinId="0"/>
    <cellStyle name="Normal 2" xfId="5" xr:uid="{887E7AA2-C03C-499A-ADB7-226ABC069080}"/>
    <cellStyle name="Normal 3" xfId="3" xr:uid="{6F64E283-883E-4FDA-A2FB-EBE06B08DAAE}"/>
    <cellStyle name="Normal 3 2" xfId="4" xr:uid="{23A8902A-7062-40D5-B09D-1F867DC26115}"/>
    <cellStyle name="Porcentagem" xfId="2" builtinId="5"/>
    <cellStyle name="Vírgula" xfId="1" builtinId="3"/>
    <cellStyle name="Vírgula 2" xfId="8" xr:uid="{2A0402BE-6015-4E3F-A785-A81B8044FD56}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2126E-35C3-451A-86D5-57A76E988B6D}">
  <dimension ref="A1:D38"/>
  <sheetViews>
    <sheetView tabSelected="1" topLeftCell="A3" workbookViewId="0">
      <selection activeCell="B21" sqref="B21"/>
    </sheetView>
  </sheetViews>
  <sheetFormatPr defaultColWidth="8.85546875" defaultRowHeight="15" x14ac:dyDescent="0.25"/>
  <cols>
    <col min="1" max="1" width="85.7109375" style="24" customWidth="1"/>
    <col min="2" max="2" width="25.5703125" style="32" customWidth="1"/>
    <col min="3" max="3" width="52" style="24" customWidth="1"/>
    <col min="4" max="16384" width="8.85546875" style="24"/>
  </cols>
  <sheetData>
    <row r="1" spans="1:4" s="2" customFormat="1" ht="15.75" thickBot="1" x14ac:dyDescent="0.3">
      <c r="A1" s="154" t="s">
        <v>0</v>
      </c>
      <c r="B1" s="155"/>
      <c r="C1" s="156"/>
    </row>
    <row r="2" spans="1:4" s="2" customFormat="1" ht="15.75" thickTop="1" x14ac:dyDescent="0.25"/>
    <row r="3" spans="1:4" s="2" customFormat="1" x14ac:dyDescent="0.25">
      <c r="A3" s="157" t="s">
        <v>1</v>
      </c>
      <c r="B3" s="158"/>
      <c r="C3" s="158"/>
    </row>
    <row r="4" spans="1:4" s="2" customFormat="1" ht="15.75" thickBot="1" x14ac:dyDescent="0.3"/>
    <row r="5" spans="1:4" s="2" customFormat="1" ht="16.5" thickTop="1" thickBot="1" x14ac:dyDescent="0.3">
      <c r="A5" s="3" t="s">
        <v>2</v>
      </c>
      <c r="B5" s="3" t="s">
        <v>3</v>
      </c>
      <c r="C5" s="4" t="s">
        <v>4</v>
      </c>
      <c r="D5" s="5"/>
    </row>
    <row r="6" spans="1:4" s="2" customFormat="1" ht="16.5" thickTop="1" thickBot="1" x14ac:dyDescent="0.3">
      <c r="A6" s="6"/>
      <c r="B6" s="7"/>
      <c r="C6" s="8"/>
      <c r="D6" s="5"/>
    </row>
    <row r="7" spans="1:4" s="2" customFormat="1" ht="16.5" thickTop="1" thickBot="1" x14ac:dyDescent="0.3">
      <c r="A7" s="6"/>
      <c r="B7" s="7"/>
      <c r="C7" s="8"/>
      <c r="D7" s="5"/>
    </row>
    <row r="8" spans="1:4" s="2" customFormat="1" ht="16.5" thickTop="1" thickBot="1" x14ac:dyDescent="0.3">
      <c r="A8" s="6"/>
      <c r="B8" s="7"/>
      <c r="C8" s="8"/>
      <c r="D8" s="5"/>
    </row>
    <row r="9" spans="1:4" s="2" customFormat="1" ht="16.5" thickTop="1" thickBot="1" x14ac:dyDescent="0.3">
      <c r="A9" s="6"/>
      <c r="B9" s="7"/>
      <c r="C9" s="9"/>
    </row>
    <row r="10" spans="1:4" s="2" customFormat="1" ht="16.5" thickTop="1" thickBot="1" x14ac:dyDescent="0.3">
      <c r="A10" s="6"/>
      <c r="B10" s="7"/>
      <c r="C10" s="8"/>
      <c r="D10" s="5"/>
    </row>
    <row r="11" spans="1:4" s="2" customFormat="1" ht="16.5" thickTop="1" thickBot="1" x14ac:dyDescent="0.3">
      <c r="A11" s="10"/>
      <c r="B11" s="11"/>
      <c r="C11" s="12"/>
      <c r="D11" s="5"/>
    </row>
    <row r="12" spans="1:4" s="2" customFormat="1" ht="16.5" thickTop="1" thickBot="1" x14ac:dyDescent="0.3">
      <c r="A12" s="13" t="s">
        <v>5</v>
      </c>
      <c r="B12" s="145">
        <f>SUM(B6:B11)</f>
        <v>0</v>
      </c>
      <c r="C12" s="14"/>
    </row>
    <row r="13" spans="1:4" s="2" customFormat="1" ht="16.5" thickTop="1" thickBot="1" x14ac:dyDescent="0.3">
      <c r="A13" s="15"/>
      <c r="B13" s="16"/>
      <c r="C13" s="17"/>
    </row>
    <row r="14" spans="1:4" s="2" customFormat="1" ht="16.5" thickTop="1" thickBot="1" x14ac:dyDescent="0.3">
      <c r="A14" s="3" t="s">
        <v>188</v>
      </c>
      <c r="B14" s="3" t="s">
        <v>3</v>
      </c>
      <c r="C14" s="18" t="s">
        <v>4</v>
      </c>
      <c r="D14" s="5"/>
    </row>
    <row r="15" spans="1:4" s="2" customFormat="1" ht="16.5" thickTop="1" thickBot="1" x14ac:dyDescent="0.3">
      <c r="A15" s="19"/>
      <c r="B15" s="20"/>
      <c r="C15" s="8"/>
      <c r="D15" s="5"/>
    </row>
    <row r="16" spans="1:4" s="2" customFormat="1" ht="16.5" thickTop="1" thickBot="1" x14ac:dyDescent="0.3">
      <c r="A16" s="19"/>
      <c r="B16" s="20"/>
      <c r="C16" s="9"/>
    </row>
    <row r="17" spans="1:4" ht="16.5" thickTop="1" thickBot="1" x14ac:dyDescent="0.3">
      <c r="A17" s="21"/>
      <c r="B17" s="22"/>
      <c r="C17" s="8"/>
      <c r="D17" s="23"/>
    </row>
    <row r="18" spans="1:4" ht="16.5" thickTop="1" thickBot="1" x14ac:dyDescent="0.3">
      <c r="A18" s="25"/>
      <c r="B18" s="6"/>
      <c r="C18" s="8"/>
      <c r="D18" s="23"/>
    </row>
    <row r="19" spans="1:4" ht="16.5" thickTop="1" thickBot="1" x14ac:dyDescent="0.3">
      <c r="A19" s="21"/>
      <c r="B19" s="22"/>
      <c r="C19" s="8"/>
      <c r="D19" s="23"/>
    </row>
    <row r="20" spans="1:4" ht="16.5" thickTop="1" thickBot="1" x14ac:dyDescent="0.3">
      <c r="A20" s="21"/>
      <c r="B20" s="22"/>
      <c r="C20" s="8"/>
      <c r="D20" s="23"/>
    </row>
    <row r="21" spans="1:4" ht="16.5" thickTop="1" thickBot="1" x14ac:dyDescent="0.3">
      <c r="A21" s="21"/>
      <c r="B21" s="152"/>
      <c r="C21" s="9"/>
    </row>
    <row r="22" spans="1:4" ht="16.5" thickTop="1" thickBot="1" x14ac:dyDescent="0.3">
      <c r="A22" s="140" t="s">
        <v>6</v>
      </c>
      <c r="B22" s="146">
        <f>SUM(B15:B21)</f>
        <v>0</v>
      </c>
      <c r="C22" s="27"/>
    </row>
    <row r="23" spans="1:4" ht="16.5" thickTop="1" thickBot="1" x14ac:dyDescent="0.3">
      <c r="A23" s="1"/>
      <c r="B23" s="1"/>
      <c r="C23" s="137"/>
    </row>
    <row r="24" spans="1:4" ht="16.5" thickTop="1" thickBot="1" x14ac:dyDescent="0.3">
      <c r="A24" s="138" t="s">
        <v>7</v>
      </c>
      <c r="B24" s="139" t="s">
        <v>8</v>
      </c>
      <c r="C24" s="28"/>
    </row>
    <row r="25" spans="1:4" ht="16.5" thickTop="1" thickBot="1" x14ac:dyDescent="0.3">
      <c r="A25" s="19"/>
      <c r="B25" s="29"/>
      <c r="C25" s="28"/>
    </row>
    <row r="26" spans="1:4" ht="16.5" thickTop="1" thickBot="1" x14ac:dyDescent="0.3">
      <c r="A26" s="19"/>
      <c r="B26" s="29"/>
      <c r="C26" s="28"/>
    </row>
    <row r="27" spans="1:4" ht="16.5" thickTop="1" thickBot="1" x14ac:dyDescent="0.3">
      <c r="A27" s="19"/>
      <c r="B27" s="29"/>
      <c r="C27" s="28"/>
    </row>
    <row r="28" spans="1:4" ht="16.5" thickTop="1" thickBot="1" x14ac:dyDescent="0.3">
      <c r="A28" s="19"/>
      <c r="B28" s="29"/>
      <c r="C28" s="28"/>
    </row>
    <row r="29" spans="1:4" ht="16.5" thickTop="1" thickBot="1" x14ac:dyDescent="0.3">
      <c r="A29" s="19"/>
      <c r="B29" s="29"/>
      <c r="C29" s="28"/>
    </row>
    <row r="30" spans="1:4" ht="16.5" thickTop="1" thickBot="1" x14ac:dyDescent="0.3">
      <c r="A30" s="19"/>
      <c r="B30" s="29"/>
      <c r="C30" s="28"/>
    </row>
    <row r="31" spans="1:4" ht="16.5" thickTop="1" thickBot="1" x14ac:dyDescent="0.3">
      <c r="A31" s="21"/>
      <c r="B31" s="30"/>
      <c r="C31" s="28"/>
    </row>
    <row r="32" spans="1:4" ht="16.5" thickTop="1" thickBot="1" x14ac:dyDescent="0.3">
      <c r="A32" s="21"/>
      <c r="B32" s="30"/>
      <c r="C32" s="28"/>
    </row>
    <row r="33" spans="1:3" ht="16.5" thickTop="1" thickBot="1" x14ac:dyDescent="0.3">
      <c r="A33" s="21"/>
      <c r="B33" s="30"/>
      <c r="C33" s="28"/>
    </row>
    <row r="34" spans="1:3" ht="16.5" thickTop="1" thickBot="1" x14ac:dyDescent="0.3">
      <c r="A34" s="21"/>
      <c r="B34" s="30"/>
      <c r="C34" s="28"/>
    </row>
    <row r="35" spans="1:3" ht="16.5" thickTop="1" thickBot="1" x14ac:dyDescent="0.3">
      <c r="A35" s="21"/>
      <c r="B35" s="30"/>
      <c r="C35" s="28"/>
    </row>
    <row r="36" spans="1:3" ht="16.5" thickTop="1" thickBot="1" x14ac:dyDescent="0.3">
      <c r="A36" s="21"/>
      <c r="B36" s="30"/>
      <c r="C36" s="28"/>
    </row>
    <row r="37" spans="1:3" ht="16.5" thickTop="1" thickBot="1" x14ac:dyDescent="0.3">
      <c r="A37" s="26" t="s">
        <v>9</v>
      </c>
      <c r="B37" s="147">
        <f>SUM(B25:B36)</f>
        <v>0</v>
      </c>
      <c r="C37" s="28"/>
    </row>
    <row r="38" spans="1:3" ht="15.75" thickTop="1" x14ac:dyDescent="0.25">
      <c r="A38" s="31"/>
    </row>
  </sheetData>
  <mergeCells count="2">
    <mergeCell ref="A1:C1"/>
    <mergeCell ref="A3:C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&amp;C_x000D_&amp;1#&amp;"Calibri"&amp;10&amp;K000000 INFORMAÇÃO CONTROLADA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CA3D-928D-48AB-9F80-6A59199D900B}">
  <sheetPr>
    <pageSetUpPr fitToPage="1"/>
  </sheetPr>
  <dimension ref="A1:L35"/>
  <sheetViews>
    <sheetView workbookViewId="0">
      <selection activeCell="C20" sqref="C20:C22"/>
    </sheetView>
  </sheetViews>
  <sheetFormatPr defaultColWidth="9.140625" defaultRowHeight="15" x14ac:dyDescent="0.25"/>
  <cols>
    <col min="1" max="1" width="7" style="189" customWidth="1"/>
    <col min="2" max="2" width="74.7109375" style="189" customWidth="1"/>
    <col min="3" max="3" width="16.5703125" style="191" customWidth="1"/>
    <col min="4" max="4" width="17.5703125" style="191" bestFit="1" customWidth="1"/>
    <col min="5" max="5" width="14.85546875" style="191" customWidth="1"/>
    <col min="6" max="6" width="13.5703125" style="191" customWidth="1"/>
    <col min="7" max="7" width="15.7109375" style="191" bestFit="1" customWidth="1"/>
    <col min="8" max="8" width="18.5703125" style="189" customWidth="1"/>
    <col min="9" max="13" width="13.42578125" style="189" customWidth="1"/>
    <col min="14" max="16384" width="9.140625" style="189"/>
  </cols>
  <sheetData>
    <row r="1" spans="1:12" ht="23.25" customHeight="1" x14ac:dyDescent="0.25">
      <c r="B1" s="190"/>
    </row>
    <row r="2" spans="1:12" ht="25.5" customHeight="1" x14ac:dyDescent="0.25">
      <c r="B2" s="192" t="s">
        <v>10</v>
      </c>
      <c r="C2" s="193"/>
      <c r="D2" s="193"/>
      <c r="E2" s="193"/>
      <c r="F2" s="193"/>
      <c r="G2" s="194"/>
    </row>
    <row r="3" spans="1:12" x14ac:dyDescent="0.25">
      <c r="B3" s="195"/>
      <c r="C3" s="196"/>
      <c r="D3" s="196"/>
      <c r="E3" s="196"/>
      <c r="F3" s="196"/>
      <c r="G3" s="196"/>
    </row>
    <row r="4" spans="1:12" ht="19.5" customHeight="1" x14ac:dyDescent="0.25">
      <c r="B4" s="197" t="s">
        <v>1</v>
      </c>
      <c r="C4" s="198"/>
      <c r="D4" s="198"/>
      <c r="E4" s="198"/>
      <c r="F4" s="198"/>
      <c r="G4" s="199"/>
    </row>
    <row r="5" spans="1:12" x14ac:dyDescent="0.25">
      <c r="B5" s="200"/>
      <c r="C5" s="201"/>
      <c r="D5" s="201"/>
      <c r="E5" s="201"/>
      <c r="F5" s="201"/>
      <c r="G5" s="201"/>
    </row>
    <row r="6" spans="1:12" s="201" customFormat="1" ht="34.5" customHeight="1" x14ac:dyDescent="0.25">
      <c r="A6" s="202" t="s">
        <v>11</v>
      </c>
      <c r="B6" s="202" t="s">
        <v>12</v>
      </c>
      <c r="C6" s="202" t="s">
        <v>13</v>
      </c>
      <c r="D6" s="202" t="s">
        <v>14</v>
      </c>
      <c r="E6" s="202" t="s">
        <v>15</v>
      </c>
      <c r="F6" s="202" t="s">
        <v>16</v>
      </c>
      <c r="G6" s="202" t="s">
        <v>17</v>
      </c>
      <c r="H6" s="202" t="s">
        <v>172</v>
      </c>
    </row>
    <row r="7" spans="1:12" s="201" customFormat="1" ht="18.75" customHeight="1" x14ac:dyDescent="0.25">
      <c r="A7" s="203">
        <v>1</v>
      </c>
      <c r="B7" s="204" t="s">
        <v>178</v>
      </c>
      <c r="C7" s="205">
        <v>4815</v>
      </c>
      <c r="D7" s="206">
        <f>'Posto 1'!D84</f>
        <v>10822.189999999999</v>
      </c>
      <c r="E7" s="207">
        <v>12</v>
      </c>
      <c r="F7" s="206">
        <f t="shared" ref="F7:F9" si="0">E7*D7</f>
        <v>129866.27999999998</v>
      </c>
      <c r="G7" s="206">
        <f>F7*12</f>
        <v>1558395.3599999999</v>
      </c>
      <c r="H7" s="206">
        <f>5*G7</f>
        <v>7791976.7999999989</v>
      </c>
      <c r="I7" s="208"/>
    </row>
    <row r="8" spans="1:12" s="201" customFormat="1" ht="18.75" customHeight="1" x14ac:dyDescent="0.25">
      <c r="A8" s="203">
        <v>2</v>
      </c>
      <c r="B8" s="204" t="s">
        <v>179</v>
      </c>
      <c r="C8" s="205">
        <v>7202.11</v>
      </c>
      <c r="D8" s="206">
        <f>'Posto 2'!D84</f>
        <v>14818.9</v>
      </c>
      <c r="E8" s="207">
        <v>30</v>
      </c>
      <c r="F8" s="206">
        <f t="shared" si="0"/>
        <v>444567</v>
      </c>
      <c r="G8" s="206">
        <f t="shared" ref="G8:G9" si="1">F8*12</f>
        <v>5334804</v>
      </c>
      <c r="H8" s="206">
        <f t="shared" ref="H8:H9" si="2">5*G8</f>
        <v>26674020</v>
      </c>
    </row>
    <row r="9" spans="1:12" s="201" customFormat="1" ht="18.75" customHeight="1" x14ac:dyDescent="0.25">
      <c r="A9" s="203">
        <v>3</v>
      </c>
      <c r="B9" s="204" t="s">
        <v>180</v>
      </c>
      <c r="C9" s="205">
        <v>9630</v>
      </c>
      <c r="D9" s="206">
        <f>'Posto 3'!D86</f>
        <v>18968.64</v>
      </c>
      <c r="E9" s="207">
        <v>3</v>
      </c>
      <c r="F9" s="206">
        <f t="shared" si="0"/>
        <v>56905.919999999998</v>
      </c>
      <c r="G9" s="206">
        <f t="shared" si="1"/>
        <v>682871.04</v>
      </c>
      <c r="H9" s="206">
        <f t="shared" si="2"/>
        <v>3414355.2</v>
      </c>
    </row>
    <row r="10" spans="1:12" s="209" customFormat="1" ht="25.5" customHeight="1" x14ac:dyDescent="0.25">
      <c r="B10" s="210" t="s">
        <v>170</v>
      </c>
      <c r="C10" s="210"/>
      <c r="D10" s="210"/>
      <c r="E10" s="210"/>
      <c r="F10" s="211">
        <f>SUM(F7:F9)</f>
        <v>631339.20000000007</v>
      </c>
      <c r="G10" s="211">
        <f>SUM(G7:G9)</f>
        <v>7576070.3999999994</v>
      </c>
      <c r="H10" s="212">
        <f>SUM(H7:H9)</f>
        <v>37880352</v>
      </c>
    </row>
    <row r="11" spans="1:12" s="209" customFormat="1" ht="20.25" customHeight="1" x14ac:dyDescent="0.25">
      <c r="B11" s="190"/>
      <c r="C11" s="213"/>
      <c r="D11" s="213"/>
      <c r="E11" s="213"/>
      <c r="F11" s="214"/>
      <c r="G11" s="215"/>
    </row>
    <row r="12" spans="1:12" s="216" customFormat="1" x14ac:dyDescent="0.25">
      <c r="B12" s="217" t="s">
        <v>18</v>
      </c>
      <c r="C12" s="218" t="s">
        <v>19</v>
      </c>
      <c r="D12" s="219"/>
      <c r="E12" s="189"/>
      <c r="F12" s="189"/>
      <c r="G12" s="189"/>
      <c r="H12" s="189"/>
      <c r="I12" s="189"/>
      <c r="J12" s="189"/>
      <c r="K12" s="189"/>
      <c r="L12" s="189"/>
    </row>
    <row r="13" spans="1:12" x14ac:dyDescent="0.25">
      <c r="B13" s="220" t="s">
        <v>20</v>
      </c>
      <c r="C13" s="33"/>
      <c r="D13" s="221"/>
      <c r="E13" s="189"/>
      <c r="F13" s="189"/>
      <c r="G13" s="189"/>
    </row>
    <row r="14" spans="1:12" ht="16.5" customHeight="1" x14ac:dyDescent="0.25">
      <c r="B14" s="220" t="s">
        <v>21</v>
      </c>
      <c r="C14" s="222">
        <f>'DETALHAMENTO VALORES SUBJETIVOS'!B37</f>
        <v>0</v>
      </c>
      <c r="D14" s="223"/>
      <c r="E14" s="189"/>
      <c r="F14" s="189"/>
      <c r="G14" s="189"/>
    </row>
    <row r="15" spans="1:12" ht="12.75" customHeight="1" x14ac:dyDescent="0.25">
      <c r="B15" s="224"/>
      <c r="C15" s="224"/>
      <c r="D15" s="224"/>
      <c r="E15" s="224"/>
      <c r="F15" s="224"/>
      <c r="G15" s="224"/>
    </row>
    <row r="16" spans="1:12" ht="16.5" customHeight="1" x14ac:dyDescent="0.25">
      <c r="B16" s="225" t="s">
        <v>22</v>
      </c>
      <c r="C16" s="203" t="s">
        <v>19</v>
      </c>
      <c r="D16" s="226"/>
      <c r="E16" s="189"/>
      <c r="F16" s="189"/>
      <c r="G16" s="189"/>
    </row>
    <row r="17" spans="2:11" ht="16.5" customHeight="1" x14ac:dyDescent="0.25">
      <c r="B17" s="227" t="s">
        <v>23</v>
      </c>
      <c r="C17" s="35"/>
      <c r="D17" s="226"/>
      <c r="G17" s="228"/>
    </row>
    <row r="18" spans="2:11" ht="13.5" customHeight="1" x14ac:dyDescent="0.25">
      <c r="B18" s="229"/>
      <c r="C18" s="230"/>
      <c r="D18" s="229"/>
      <c r="E18" s="189"/>
      <c r="F18" s="189"/>
      <c r="G18" s="189"/>
    </row>
    <row r="19" spans="2:11" s="200" customFormat="1" ht="16.5" customHeight="1" x14ac:dyDescent="0.25">
      <c r="B19" s="231" t="s">
        <v>24</v>
      </c>
      <c r="C19" s="218" t="s">
        <v>19</v>
      </c>
      <c r="D19" s="219"/>
      <c r="E19" s="232"/>
      <c r="F19" s="232"/>
      <c r="G19" s="232"/>
      <c r="H19" s="232"/>
      <c r="I19" s="232"/>
      <c r="J19" s="232"/>
      <c r="K19" s="233"/>
    </row>
    <row r="20" spans="2:11" ht="16.5" customHeight="1" x14ac:dyDescent="0.25">
      <c r="B20" s="220" t="s">
        <v>25</v>
      </c>
      <c r="C20" s="33"/>
      <c r="D20" s="230"/>
      <c r="E20" s="232"/>
      <c r="F20" s="232"/>
      <c r="G20" s="232"/>
      <c r="H20" s="232"/>
      <c r="I20" s="232"/>
      <c r="J20" s="232"/>
      <c r="K20" s="233"/>
    </row>
    <row r="21" spans="2:11" ht="16.5" customHeight="1" x14ac:dyDescent="0.25">
      <c r="B21" s="220" t="s">
        <v>26</v>
      </c>
      <c r="C21" s="33"/>
      <c r="D21" s="230"/>
      <c r="E21" s="232"/>
      <c r="F21" s="232"/>
      <c r="G21" s="232"/>
      <c r="H21" s="232"/>
      <c r="I21" s="232"/>
      <c r="J21" s="232"/>
    </row>
    <row r="22" spans="2:11" ht="16.5" customHeight="1" x14ac:dyDescent="0.25">
      <c r="B22" s="220" t="s">
        <v>27</v>
      </c>
      <c r="C22" s="33"/>
      <c r="D22" s="230"/>
    </row>
    <row r="24" spans="2:11" ht="25.5" customHeight="1" x14ac:dyDescent="0.25">
      <c r="B24" s="224" t="s">
        <v>28</v>
      </c>
      <c r="C24" s="234"/>
      <c r="D24" s="234"/>
      <c r="E24" s="234"/>
      <c r="F24" s="234"/>
      <c r="G24" s="234"/>
      <c r="H24" s="224"/>
      <c r="I24" s="234"/>
      <c r="J24" s="234"/>
    </row>
    <row r="26" spans="2:11" ht="15.75" x14ac:dyDescent="0.25">
      <c r="B26" s="235"/>
    </row>
    <row r="27" spans="2:11" ht="15.75" x14ac:dyDescent="0.25">
      <c r="B27" s="236"/>
    </row>
    <row r="28" spans="2:11" ht="15.75" x14ac:dyDescent="0.25">
      <c r="B28" s="235"/>
    </row>
    <row r="29" spans="2:11" ht="15.75" x14ac:dyDescent="0.25">
      <c r="B29" s="236"/>
    </row>
    <row r="30" spans="2:11" ht="15.75" x14ac:dyDescent="0.25">
      <c r="B30" s="236"/>
    </row>
    <row r="31" spans="2:11" ht="15.75" x14ac:dyDescent="0.25">
      <c r="B31" s="236"/>
    </row>
    <row r="32" spans="2:11" ht="15.75" x14ac:dyDescent="0.25">
      <c r="B32" s="235"/>
    </row>
    <row r="33" spans="2:2" ht="15.75" x14ac:dyDescent="0.25">
      <c r="B33" s="236"/>
    </row>
    <row r="35" spans="2:2" ht="15.75" x14ac:dyDescent="0.25">
      <c r="B35" s="237"/>
    </row>
  </sheetData>
  <sheetProtection algorithmName="SHA-512" hashValue="aapEakMx9u7bED8DhIgYfQqEIHOdE5toap3Nnv+RgtAAgBsb6XWHKU7IT71PaRVxCmWk2gW8iOIRZF9shmbeRw==" saltValue="6Fo2qMcJvBv7Munc5zZJ2Q==" spinCount="100000" sheet="1" objects="1" scenarios="1"/>
  <mergeCells count="6">
    <mergeCell ref="B24:G24"/>
    <mergeCell ref="H24:J24"/>
    <mergeCell ref="B2:G2"/>
    <mergeCell ref="B4:G4"/>
    <mergeCell ref="B10:E10"/>
    <mergeCell ref="B15:G15"/>
  </mergeCells>
  <conditionalFormatting sqref="C13">
    <cfRule type="expression" dxfId="8" priority="10">
      <formula>ISBLANK($C$13)</formula>
    </cfRule>
  </conditionalFormatting>
  <conditionalFormatting sqref="C14">
    <cfRule type="expression" dxfId="7" priority="9">
      <formula>ISBLANK($C$14)</formula>
    </cfRule>
  </conditionalFormatting>
  <conditionalFormatting sqref="C17">
    <cfRule type="expression" dxfId="6" priority="4">
      <formula>ISBLANK($C$17)</formula>
    </cfRule>
  </conditionalFormatting>
  <conditionalFormatting sqref="C20">
    <cfRule type="expression" dxfId="5" priority="3">
      <formula>ISBLANK($C$20)</formula>
    </cfRule>
  </conditionalFormatting>
  <conditionalFormatting sqref="C21">
    <cfRule type="expression" dxfId="4" priority="2">
      <formula>ISBLANK($C$21)</formula>
    </cfRule>
  </conditionalFormatting>
  <conditionalFormatting sqref="C22">
    <cfRule type="expression" dxfId="3" priority="1">
      <formula>ISBLANK($C$22)</formula>
    </cfRule>
  </conditionalFormatting>
  <pageMargins left="0.51181102362204722" right="0.51181102362204722" top="0.78740157480314965" bottom="0.78740157480314965" header="0.31496062992125984" footer="0.31496062992125984"/>
  <pageSetup paperSize="9" scale="46" orientation="portrait" r:id="rId1"/>
  <headerFooter>
    <oddFooter>&amp;C_x000D_&amp;1#&amp;"Calibri"&amp;10&amp;K000000 INFORMAÇÃO CONTROLADA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74213-2197-4368-AFD2-A62F73CD0BB4}">
  <sheetPr>
    <pageSetUpPr fitToPage="1"/>
  </sheetPr>
  <dimension ref="A1:E84"/>
  <sheetViews>
    <sheetView zoomScale="90" zoomScaleNormal="90" workbookViewId="0">
      <selection activeCell="B67" sqref="B67"/>
    </sheetView>
  </sheetViews>
  <sheetFormatPr defaultColWidth="9.140625" defaultRowHeight="12.75" x14ac:dyDescent="0.2"/>
  <cols>
    <col min="1" max="1" width="68.5703125" style="36" customWidth="1"/>
    <col min="2" max="2" width="15.140625" style="36" customWidth="1"/>
    <col min="3" max="3" width="64" style="36" customWidth="1"/>
    <col min="4" max="4" width="16.42578125" style="135" bestFit="1" customWidth="1"/>
    <col min="5" max="5" width="57.85546875" style="36" customWidth="1"/>
    <col min="6" max="16384" width="9.140625" style="36"/>
  </cols>
  <sheetData>
    <row r="1" spans="1:5" ht="20.25" thickBot="1" x14ac:dyDescent="0.25">
      <c r="A1" s="162" t="str">
        <f>"PLANILHA DE COMPOSIÇÃO DE CUSTOS E FORMAÇÃO DE PREÇOS - " &amp; 'Quadro Resumo'!B7</f>
        <v>PLANILHA DE COMPOSIÇÃO DE CUSTOS E FORMAÇÃO DE PREÇOS - ASSISTENTE ADMINISTRATIVO I</v>
      </c>
      <c r="B1" s="163"/>
      <c r="C1" s="163"/>
      <c r="D1" s="163"/>
      <c r="E1" s="164"/>
    </row>
    <row r="2" spans="1:5" ht="20.25" thickBot="1" x14ac:dyDescent="0.25">
      <c r="A2" s="37"/>
      <c r="B2" s="38"/>
      <c r="C2" s="38"/>
      <c r="D2" s="39"/>
      <c r="E2" s="40"/>
    </row>
    <row r="3" spans="1:5" ht="17.25" customHeight="1" x14ac:dyDescent="0.2">
      <c r="A3" s="41" t="s">
        <v>29</v>
      </c>
      <c r="B3" s="42"/>
      <c r="C3" s="42"/>
      <c r="D3" s="42" t="s">
        <v>30</v>
      </c>
      <c r="E3" s="42" t="s">
        <v>31</v>
      </c>
    </row>
    <row r="4" spans="1:5" ht="17.25" customHeight="1" thickBot="1" x14ac:dyDescent="0.25">
      <c r="A4" s="43" t="str">
        <f>'Quadro Resumo'!B7</f>
        <v>ASSISTENTE ADMINISTRATIVO I</v>
      </c>
      <c r="B4" s="44"/>
      <c r="C4" s="44" t="s">
        <v>32</v>
      </c>
      <c r="D4" s="151">
        <f>'Quadro Resumo'!C7</f>
        <v>4815</v>
      </c>
      <c r="E4" s="45" t="s">
        <v>31</v>
      </c>
    </row>
    <row r="5" spans="1:5" ht="13.5" thickBot="1" x14ac:dyDescent="0.25">
      <c r="A5" s="46"/>
      <c r="B5" s="47"/>
      <c r="C5" s="47"/>
      <c r="D5" s="48"/>
      <c r="E5" s="47"/>
    </row>
    <row r="6" spans="1:5" ht="17.25" customHeight="1" x14ac:dyDescent="0.2">
      <c r="A6" s="49" t="s">
        <v>33</v>
      </c>
      <c r="B6" s="42" t="s">
        <v>34</v>
      </c>
      <c r="C6" s="42" t="s">
        <v>35</v>
      </c>
      <c r="D6" s="50" t="s">
        <v>30</v>
      </c>
      <c r="E6" s="51" t="s">
        <v>36</v>
      </c>
    </row>
    <row r="7" spans="1:5" ht="17.25" customHeight="1" x14ac:dyDescent="0.2">
      <c r="A7" s="52" t="s">
        <v>37</v>
      </c>
      <c r="B7" s="53" t="s">
        <v>31</v>
      </c>
      <c r="C7" s="54" t="s">
        <v>31</v>
      </c>
      <c r="D7" s="55">
        <f>TRUNC(D4,2)</f>
        <v>4815</v>
      </c>
      <c r="E7" s="56"/>
    </row>
    <row r="8" spans="1:5" ht="16.5" customHeight="1" thickBot="1" x14ac:dyDescent="0.25">
      <c r="A8" s="62" t="s">
        <v>38</v>
      </c>
      <c r="B8" s="63" t="s">
        <v>31</v>
      </c>
      <c r="C8" s="64" t="s">
        <v>39</v>
      </c>
      <c r="D8" s="65">
        <f>SUM(D7:D7)</f>
        <v>4815</v>
      </c>
      <c r="E8" s="66" t="s">
        <v>31</v>
      </c>
    </row>
    <row r="9" spans="1:5" ht="13.5" customHeight="1" thickBot="1" x14ac:dyDescent="0.25">
      <c r="A9" s="67"/>
      <c r="B9" s="68"/>
      <c r="C9" s="69"/>
      <c r="D9" s="48"/>
      <c r="E9" s="47"/>
    </row>
    <row r="10" spans="1:5" ht="16.5" customHeight="1" thickBot="1" x14ac:dyDescent="0.25">
      <c r="A10" s="165" t="s">
        <v>40</v>
      </c>
      <c r="B10" s="166"/>
      <c r="C10" s="166"/>
      <c r="D10" s="166"/>
      <c r="E10" s="167"/>
    </row>
    <row r="11" spans="1:5" ht="16.5" customHeight="1" x14ac:dyDescent="0.2">
      <c r="A11" s="49" t="s">
        <v>41</v>
      </c>
      <c r="B11" s="42" t="s">
        <v>42</v>
      </c>
      <c r="C11" s="42" t="s">
        <v>35</v>
      </c>
      <c r="D11" s="50" t="s">
        <v>30</v>
      </c>
      <c r="E11" s="51" t="s">
        <v>36</v>
      </c>
    </row>
    <row r="12" spans="1:5" ht="16.5" customHeight="1" x14ac:dyDescent="0.2">
      <c r="A12" s="52" t="s">
        <v>43</v>
      </c>
      <c r="B12" s="74">
        <v>0.2</v>
      </c>
      <c r="C12" s="54" t="s">
        <v>44</v>
      </c>
      <c r="D12" s="55">
        <f>TRUNC(B12*$D$8,2)</f>
        <v>963</v>
      </c>
      <c r="E12" s="71" t="s">
        <v>45</v>
      </c>
    </row>
    <row r="13" spans="1:5" ht="16.5" customHeight="1" x14ac:dyDescent="0.2">
      <c r="A13" s="52" t="s">
        <v>46</v>
      </c>
      <c r="B13" s="74">
        <v>0.08</v>
      </c>
      <c r="C13" s="54" t="s">
        <v>47</v>
      </c>
      <c r="D13" s="55">
        <f t="shared" ref="D13:D19" si="0">TRUNC(B13*$D$8,2)</f>
        <v>385.2</v>
      </c>
      <c r="E13" s="72" t="s">
        <v>48</v>
      </c>
    </row>
    <row r="14" spans="1:5" ht="17.25" customHeight="1" x14ac:dyDescent="0.2">
      <c r="A14" s="52" t="s">
        <v>49</v>
      </c>
      <c r="B14" s="74">
        <v>1.4999999999999999E-2</v>
      </c>
      <c r="C14" s="54" t="s">
        <v>50</v>
      </c>
      <c r="D14" s="55">
        <f t="shared" si="0"/>
        <v>72.22</v>
      </c>
      <c r="E14" s="72" t="s">
        <v>51</v>
      </c>
    </row>
    <row r="15" spans="1:5" ht="17.25" customHeight="1" x14ac:dyDescent="0.2">
      <c r="A15" s="52" t="s">
        <v>52</v>
      </c>
      <c r="B15" s="74">
        <v>0.01</v>
      </c>
      <c r="C15" s="54" t="s">
        <v>53</v>
      </c>
      <c r="D15" s="55">
        <f t="shared" si="0"/>
        <v>48.15</v>
      </c>
      <c r="E15" s="72" t="s">
        <v>54</v>
      </c>
    </row>
    <row r="16" spans="1:5" ht="17.25" customHeight="1" x14ac:dyDescent="0.2">
      <c r="A16" s="52" t="s">
        <v>55</v>
      </c>
      <c r="B16" s="74">
        <v>2E-3</v>
      </c>
      <c r="C16" s="54" t="s">
        <v>56</v>
      </c>
      <c r="D16" s="55">
        <f t="shared" si="0"/>
        <v>9.6300000000000008</v>
      </c>
      <c r="E16" s="72" t="s">
        <v>57</v>
      </c>
    </row>
    <row r="17" spans="1:5" ht="17.25" customHeight="1" x14ac:dyDescent="0.2">
      <c r="A17" s="52" t="s">
        <v>58</v>
      </c>
      <c r="B17" s="74">
        <v>6.0000000000000001E-3</v>
      </c>
      <c r="C17" s="54" t="s">
        <v>59</v>
      </c>
      <c r="D17" s="55">
        <f t="shared" si="0"/>
        <v>28.89</v>
      </c>
      <c r="E17" s="72" t="s">
        <v>60</v>
      </c>
    </row>
    <row r="18" spans="1:5" ht="17.25" customHeight="1" x14ac:dyDescent="0.2">
      <c r="A18" s="52" t="s">
        <v>61</v>
      </c>
      <c r="B18" s="74">
        <v>2.5000000000000001E-2</v>
      </c>
      <c r="C18" s="54" t="s">
        <v>62</v>
      </c>
      <c r="D18" s="55">
        <f t="shared" si="0"/>
        <v>120.37</v>
      </c>
      <c r="E18" s="72" t="s">
        <v>63</v>
      </c>
    </row>
    <row r="19" spans="1:5" ht="17.25" customHeight="1" x14ac:dyDescent="0.2">
      <c r="A19" s="73" t="s">
        <v>64</v>
      </c>
      <c r="B19" s="74">
        <f>'Quadro Resumo'!C17</f>
        <v>0</v>
      </c>
      <c r="C19" s="54" t="s">
        <v>65</v>
      </c>
      <c r="D19" s="55">
        <f t="shared" si="0"/>
        <v>0</v>
      </c>
      <c r="E19" s="75" t="s">
        <v>66</v>
      </c>
    </row>
    <row r="20" spans="1:5" ht="17.25" customHeight="1" thickBot="1" x14ac:dyDescent="0.25">
      <c r="A20" s="62" t="s">
        <v>67</v>
      </c>
      <c r="B20" s="76">
        <f>SUM(B12:B19)</f>
        <v>0.33800000000000008</v>
      </c>
      <c r="C20" s="63" t="s">
        <v>39</v>
      </c>
      <c r="D20" s="77">
        <f>SUM(D12:D19)</f>
        <v>1627.4600000000005</v>
      </c>
      <c r="E20" s="66" t="s">
        <v>31</v>
      </c>
    </row>
    <row r="21" spans="1:5" ht="13.5" thickBot="1" x14ac:dyDescent="0.25">
      <c r="A21" s="46"/>
      <c r="B21" s="47"/>
      <c r="C21" s="47"/>
      <c r="D21" s="48"/>
      <c r="E21" s="78"/>
    </row>
    <row r="22" spans="1:5" ht="15.75" customHeight="1" x14ac:dyDescent="0.2">
      <c r="A22" s="49" t="s">
        <v>68</v>
      </c>
      <c r="B22" s="42" t="s">
        <v>42</v>
      </c>
      <c r="C22" s="42" t="s">
        <v>35</v>
      </c>
      <c r="D22" s="50" t="s">
        <v>30</v>
      </c>
      <c r="E22" s="51" t="s">
        <v>36</v>
      </c>
    </row>
    <row r="23" spans="1:5" ht="15.75" customHeight="1" x14ac:dyDescent="0.2">
      <c r="A23" s="52" t="s">
        <v>69</v>
      </c>
      <c r="B23" s="74">
        <f>(1/12)</f>
        <v>8.3333333333333329E-2</v>
      </c>
      <c r="C23" s="54" t="s">
        <v>70</v>
      </c>
      <c r="D23" s="55">
        <f>TRUNC(B23*$D$8,2)</f>
        <v>401.25</v>
      </c>
      <c r="E23" s="72" t="s">
        <v>71</v>
      </c>
    </row>
    <row r="24" spans="1:5" ht="15.75" customHeight="1" x14ac:dyDescent="0.2">
      <c r="A24" s="57" t="s">
        <v>72</v>
      </c>
      <c r="B24" s="149">
        <f>B20*B23</f>
        <v>2.8166666666666673E-2</v>
      </c>
      <c r="C24" s="53" t="s">
        <v>73</v>
      </c>
      <c r="D24" s="55">
        <f>TRUNC(B24*$D$8,2)</f>
        <v>135.62</v>
      </c>
      <c r="E24" s="79" t="s">
        <v>74</v>
      </c>
    </row>
    <row r="25" spans="1:5" ht="16.5" customHeight="1" thickBot="1" x14ac:dyDescent="0.25">
      <c r="A25" s="62" t="s">
        <v>75</v>
      </c>
      <c r="B25" s="76">
        <f>SUM(B23:B24)</f>
        <v>0.1115</v>
      </c>
      <c r="C25" s="63" t="s">
        <v>39</v>
      </c>
      <c r="D25" s="77">
        <f>SUM(D23:D24)</f>
        <v>536.87</v>
      </c>
      <c r="E25" s="66" t="s">
        <v>31</v>
      </c>
    </row>
    <row r="26" spans="1:5" ht="13.5" thickBot="1" x14ac:dyDescent="0.25">
      <c r="A26" s="80"/>
      <c r="B26" s="81"/>
      <c r="C26" s="81"/>
      <c r="D26" s="82"/>
      <c r="E26" s="83"/>
    </row>
    <row r="27" spans="1:5" ht="17.25" customHeight="1" x14ac:dyDescent="0.2">
      <c r="A27" s="49" t="s">
        <v>76</v>
      </c>
      <c r="B27" s="42" t="s">
        <v>42</v>
      </c>
      <c r="C27" s="42" t="s">
        <v>35</v>
      </c>
      <c r="D27" s="50" t="s">
        <v>30</v>
      </c>
      <c r="E27" s="51" t="s">
        <v>36</v>
      </c>
    </row>
    <row r="28" spans="1:5" ht="16.5" customHeight="1" x14ac:dyDescent="0.2">
      <c r="A28" s="52" t="s">
        <v>77</v>
      </c>
      <c r="B28" s="74">
        <f>1/12</f>
        <v>8.3333333333333329E-2</v>
      </c>
      <c r="C28" s="54" t="s">
        <v>70</v>
      </c>
      <c r="D28" s="55">
        <f t="shared" ref="D28:D35" si="1">TRUNC(B28*$D$8,2)</f>
        <v>401.25</v>
      </c>
      <c r="E28" s="72" t="s">
        <v>78</v>
      </c>
    </row>
    <row r="29" spans="1:5" ht="16.5" customHeight="1" x14ac:dyDescent="0.2">
      <c r="A29" s="52" t="s">
        <v>79</v>
      </c>
      <c r="B29" s="150">
        <f>(1/3)/12</f>
        <v>2.7777777777777776E-2</v>
      </c>
      <c r="C29" s="54" t="s">
        <v>80</v>
      </c>
      <c r="D29" s="55">
        <f t="shared" si="1"/>
        <v>133.75</v>
      </c>
      <c r="E29" s="72" t="s">
        <v>78</v>
      </c>
    </row>
    <row r="30" spans="1:5" ht="16.5" customHeight="1" x14ac:dyDescent="0.2">
      <c r="A30" s="52" t="s">
        <v>81</v>
      </c>
      <c r="B30" s="74">
        <f>D30/D8</f>
        <v>3.4438213914849428E-2</v>
      </c>
      <c r="C30" s="54" t="s">
        <v>82</v>
      </c>
      <c r="D30" s="55">
        <f>TRUNC((D69-(D62+D63))/12,2)</f>
        <v>165.82</v>
      </c>
      <c r="E30" s="72" t="s">
        <v>83</v>
      </c>
    </row>
    <row r="31" spans="1:5" ht="16.5" customHeight="1" x14ac:dyDescent="0.2">
      <c r="A31" s="52" t="s">
        <v>84</v>
      </c>
      <c r="B31" s="74">
        <f>(5.96/30)/12</f>
        <v>1.6555555555555556E-2</v>
      </c>
      <c r="C31" s="54" t="s">
        <v>85</v>
      </c>
      <c r="D31" s="55">
        <f t="shared" si="1"/>
        <v>79.709999999999994</v>
      </c>
      <c r="E31" s="72" t="s">
        <v>86</v>
      </c>
    </row>
    <row r="32" spans="1:5" ht="16.5" customHeight="1" x14ac:dyDescent="0.2">
      <c r="A32" s="52" t="s">
        <v>87</v>
      </c>
      <c r="B32" s="74">
        <f>(((15/30)/12)*0.00743)</f>
        <v>3.0958333333333331E-4</v>
      </c>
      <c r="C32" s="58" t="s">
        <v>163</v>
      </c>
      <c r="D32" s="55">
        <f t="shared" si="1"/>
        <v>1.49</v>
      </c>
      <c r="E32" s="72" t="s">
        <v>88</v>
      </c>
    </row>
    <row r="33" spans="1:5" ht="16.5" customHeight="1" x14ac:dyDescent="0.2">
      <c r="A33" s="52" t="s">
        <v>89</v>
      </c>
      <c r="B33" s="74">
        <f>(2.96/30)/12</f>
        <v>8.2222222222222228E-3</v>
      </c>
      <c r="C33" s="34" t="s">
        <v>90</v>
      </c>
      <c r="D33" s="55">
        <f t="shared" si="1"/>
        <v>39.590000000000003</v>
      </c>
      <c r="E33" s="72" t="s">
        <v>91</v>
      </c>
    </row>
    <row r="34" spans="1:5" ht="16.5" customHeight="1" x14ac:dyDescent="0.2">
      <c r="A34" s="52" t="s">
        <v>92</v>
      </c>
      <c r="B34" s="74">
        <f>(5/30)/12*0.01057*0.59</f>
        <v>8.6615277777777759E-5</v>
      </c>
      <c r="C34" s="58" t="s">
        <v>182</v>
      </c>
      <c r="D34" s="55">
        <f t="shared" si="1"/>
        <v>0.41</v>
      </c>
      <c r="E34" s="72" t="s">
        <v>93</v>
      </c>
    </row>
    <row r="35" spans="1:5" ht="16.5" customHeight="1" x14ac:dyDescent="0.2">
      <c r="A35" s="52" t="s">
        <v>94</v>
      </c>
      <c r="B35" s="85">
        <f>(7/30)/12</f>
        <v>1.9444444444444445E-2</v>
      </c>
      <c r="C35" s="86" t="s">
        <v>95</v>
      </c>
      <c r="D35" s="55">
        <f t="shared" si="1"/>
        <v>93.62</v>
      </c>
      <c r="E35" s="79" t="s">
        <v>96</v>
      </c>
    </row>
    <row r="36" spans="1:5" ht="24" x14ac:dyDescent="0.2">
      <c r="A36" s="52" t="s">
        <v>97</v>
      </c>
      <c r="B36" s="85">
        <f>D36/D8</f>
        <v>7.5597092419522329E-4</v>
      </c>
      <c r="C36" s="86" t="s">
        <v>183</v>
      </c>
      <c r="D36" s="55">
        <f>TRUNC(((D8*(1+(1/3))/12)+D69-(D62+D63))*(4/12)*0.01057*0.41,2)</f>
        <v>3.64</v>
      </c>
      <c r="E36" s="72" t="s">
        <v>78</v>
      </c>
    </row>
    <row r="37" spans="1:5" ht="29.25" customHeight="1" x14ac:dyDescent="0.2">
      <c r="A37" s="73" t="s">
        <v>98</v>
      </c>
      <c r="B37" s="74">
        <f>B20*SUM(B28:B35)</f>
        <v>6.4276698100441343E-2</v>
      </c>
      <c r="C37" s="86" t="s">
        <v>99</v>
      </c>
      <c r="D37" s="55">
        <f>TRUNC(B37*$D$8,2)</f>
        <v>309.49</v>
      </c>
      <c r="E37" s="79" t="s">
        <v>74</v>
      </c>
    </row>
    <row r="38" spans="1:5" ht="27.75" customHeight="1" x14ac:dyDescent="0.2">
      <c r="A38" s="73" t="s">
        <v>100</v>
      </c>
      <c r="B38" s="85">
        <f>B20*B36</f>
        <v>2.5551817237798552E-4</v>
      </c>
      <c r="C38" s="58" t="s">
        <v>101</v>
      </c>
      <c r="D38" s="55">
        <f>TRUNC(B38*$D$8,2)</f>
        <v>1.23</v>
      </c>
      <c r="E38" s="72" t="s">
        <v>102</v>
      </c>
    </row>
    <row r="39" spans="1:5" ht="16.5" customHeight="1" thickBot="1" x14ac:dyDescent="0.25">
      <c r="A39" s="62" t="s">
        <v>103</v>
      </c>
      <c r="B39" s="76">
        <f>SUM(B28:B38)</f>
        <v>0.25545593305630843</v>
      </c>
      <c r="C39" s="63" t="s">
        <v>39</v>
      </c>
      <c r="D39" s="87">
        <f>SUM(D28:D38)</f>
        <v>1230</v>
      </c>
      <c r="E39" s="66" t="s">
        <v>31</v>
      </c>
    </row>
    <row r="40" spans="1:5" ht="27" customHeight="1" x14ac:dyDescent="0.2">
      <c r="A40" s="141" t="s">
        <v>104</v>
      </c>
      <c r="B40" s="142" t="s">
        <v>105</v>
      </c>
      <c r="D40" s="168" t="s">
        <v>184</v>
      </c>
      <c r="E40" s="169"/>
    </row>
    <row r="41" spans="1:5" ht="15" x14ac:dyDescent="0.25">
      <c r="A41" s="141" t="s">
        <v>106</v>
      </c>
      <c r="B41" s="159" t="s">
        <v>181</v>
      </c>
      <c r="C41" s="170"/>
      <c r="D41" s="171"/>
      <c r="E41" s="172"/>
    </row>
    <row r="42" spans="1:5" ht="16.5" customHeight="1" thickBot="1" x14ac:dyDescent="0.25">
      <c r="A42" s="94" t="s">
        <v>162</v>
      </c>
      <c r="B42" s="142" t="s">
        <v>107</v>
      </c>
      <c r="D42" s="143"/>
      <c r="E42" s="144"/>
    </row>
    <row r="43" spans="1:5" ht="16.5" customHeight="1" x14ac:dyDescent="0.2">
      <c r="A43" s="49" t="s">
        <v>108</v>
      </c>
      <c r="B43" s="42" t="s">
        <v>42</v>
      </c>
      <c r="C43" s="42" t="s">
        <v>35</v>
      </c>
      <c r="D43" s="50" t="s">
        <v>30</v>
      </c>
      <c r="E43" s="51" t="s">
        <v>36</v>
      </c>
    </row>
    <row r="44" spans="1:5" ht="16.5" customHeight="1" x14ac:dyDescent="0.2">
      <c r="A44" s="57" t="s">
        <v>109</v>
      </c>
      <c r="B44" s="150">
        <f>(1/12)*(1/12)*(1+B28+B29)</f>
        <v>7.7160493827160481E-3</v>
      </c>
      <c r="C44" s="60" t="s">
        <v>110</v>
      </c>
      <c r="D44" s="89">
        <f>TRUNC(B44*$D$8,2)</f>
        <v>37.15</v>
      </c>
      <c r="E44" s="90" t="s">
        <v>111</v>
      </c>
    </row>
    <row r="45" spans="1:5" ht="16.5" customHeight="1" x14ac:dyDescent="0.2">
      <c r="A45" s="57" t="s">
        <v>112</v>
      </c>
      <c r="B45" s="91">
        <f>(1/12)*0.055*(1+B28+B29)*0.08</f>
        <v>4.0740740740740738E-4</v>
      </c>
      <c r="C45" s="53" t="s">
        <v>113</v>
      </c>
      <c r="D45" s="89">
        <f>TRUNC(B45*$D$8,2)</f>
        <v>1.96</v>
      </c>
      <c r="E45" s="90" t="s">
        <v>114</v>
      </c>
    </row>
    <row r="46" spans="1:5" ht="16.5" customHeight="1" x14ac:dyDescent="0.2">
      <c r="A46" s="52" t="s">
        <v>115</v>
      </c>
      <c r="B46" s="92">
        <f>0.5*0.08</f>
        <v>0.04</v>
      </c>
      <c r="C46" s="58" t="s">
        <v>116</v>
      </c>
      <c r="D46" s="89">
        <f>TRUNC(B46*$D$8,2)</f>
        <v>192.6</v>
      </c>
      <c r="E46" s="90" t="s">
        <v>117</v>
      </c>
    </row>
    <row r="47" spans="1:5" ht="17.25" customHeight="1" x14ac:dyDescent="0.2">
      <c r="A47" s="52" t="s">
        <v>118</v>
      </c>
      <c r="B47" s="88">
        <f>(1/12)*0.01</f>
        <v>8.3333333333333328E-4</v>
      </c>
      <c r="C47" s="153" t="s">
        <v>119</v>
      </c>
      <c r="D47" s="89">
        <f>TRUNC(B47*$D$8,2)</f>
        <v>4.01</v>
      </c>
      <c r="E47" s="79" t="s">
        <v>120</v>
      </c>
    </row>
    <row r="48" spans="1:5" ht="17.25" customHeight="1" x14ac:dyDescent="0.2">
      <c r="A48" s="57" t="s">
        <v>175</v>
      </c>
      <c r="B48" s="85">
        <f>0.08*B32</f>
        <v>2.4766666666666664E-5</v>
      </c>
      <c r="C48" s="153" t="s">
        <v>176</v>
      </c>
      <c r="D48" s="89">
        <f>TRUNC(B48*$D$8,2)</f>
        <v>0.11</v>
      </c>
      <c r="E48" s="90" t="s">
        <v>174</v>
      </c>
    </row>
    <row r="49" spans="1:5" ht="17.25" customHeight="1" thickBot="1" x14ac:dyDescent="0.25">
      <c r="A49" s="62" t="s">
        <v>121</v>
      </c>
      <c r="B49" s="76">
        <f>SUM(B44:B48)</f>
        <v>4.8981556790123455E-2</v>
      </c>
      <c r="C49" s="63" t="s">
        <v>39</v>
      </c>
      <c r="D49" s="77">
        <f>SUM(D44:D48)</f>
        <v>235.82999999999998</v>
      </c>
      <c r="E49" s="66" t="s">
        <v>31</v>
      </c>
    </row>
    <row r="50" spans="1:5" ht="13.5" x14ac:dyDescent="0.2">
      <c r="A50" s="93" t="s">
        <v>122</v>
      </c>
      <c r="B50" s="173" t="s">
        <v>123</v>
      </c>
      <c r="C50" s="173"/>
      <c r="D50" s="173"/>
      <c r="E50" s="174"/>
    </row>
    <row r="51" spans="1:5" ht="13.5" x14ac:dyDescent="0.2">
      <c r="A51" s="94" t="s">
        <v>177</v>
      </c>
      <c r="B51" s="159"/>
      <c r="C51" s="160"/>
      <c r="D51" s="160"/>
      <c r="E51" s="161"/>
    </row>
    <row r="52" spans="1:5" x14ac:dyDescent="0.2">
      <c r="A52" s="95" t="s">
        <v>124</v>
      </c>
      <c r="B52" s="96" t="s">
        <v>42</v>
      </c>
      <c r="C52" s="96" t="s">
        <v>35</v>
      </c>
      <c r="D52" s="97" t="s">
        <v>30</v>
      </c>
      <c r="E52" s="96" t="s">
        <v>36</v>
      </c>
    </row>
    <row r="53" spans="1:5" ht="24.75" thickBot="1" x14ac:dyDescent="0.25">
      <c r="A53" s="148" t="s">
        <v>125</v>
      </c>
      <c r="B53" s="85">
        <f>SUM(B28,B31,B32,B33,B34,B35,B36)*(B23+B28+B29+B13)</f>
        <v>3.5323120108269865E-2</v>
      </c>
      <c r="C53" s="86" t="s">
        <v>126</v>
      </c>
      <c r="D53" s="55">
        <f>TRUNC(B53*$D$8,2)</f>
        <v>170.08</v>
      </c>
      <c r="E53" s="98"/>
    </row>
    <row r="54" spans="1:5" ht="16.5" customHeight="1" thickBot="1" x14ac:dyDescent="0.25">
      <c r="A54" s="99" t="s">
        <v>127</v>
      </c>
      <c r="B54" s="100">
        <f>SUM(B53,B49,B39,B25,B20)</f>
        <v>0.78926060995470182</v>
      </c>
      <c r="C54" s="101" t="s">
        <v>128</v>
      </c>
      <c r="D54" s="102">
        <f>SUM(D20,D25,D39,D49,D53)</f>
        <v>3800.2400000000002</v>
      </c>
      <c r="E54" s="103" t="s">
        <v>31</v>
      </c>
    </row>
    <row r="55" spans="1:5" ht="13.5" thickBot="1" x14ac:dyDescent="0.25">
      <c r="A55" s="47"/>
      <c r="B55" s="47"/>
      <c r="C55" s="47"/>
      <c r="D55" s="104"/>
      <c r="E55" s="47"/>
    </row>
    <row r="56" spans="1:5" ht="16.5" customHeight="1" thickBot="1" x14ac:dyDescent="0.25">
      <c r="A56" s="165" t="s">
        <v>129</v>
      </c>
      <c r="B56" s="166"/>
      <c r="C56" s="166"/>
      <c r="D56" s="166"/>
      <c r="E56" s="167"/>
    </row>
    <row r="57" spans="1:5" ht="16.5" customHeight="1" x14ac:dyDescent="0.2">
      <c r="A57" s="49" t="s">
        <v>130</v>
      </c>
      <c r="B57" s="105" t="s">
        <v>30</v>
      </c>
      <c r="C57" s="42" t="s">
        <v>35</v>
      </c>
      <c r="D57" s="50" t="s">
        <v>30</v>
      </c>
      <c r="E57" s="51" t="s">
        <v>36</v>
      </c>
    </row>
    <row r="58" spans="1:5" ht="32.25" customHeight="1" x14ac:dyDescent="0.2">
      <c r="A58" s="107" t="s">
        <v>132</v>
      </c>
      <c r="B58" s="106">
        <f>'DETALHAMENTO VALORES SUBJETIVOS'!B12</f>
        <v>0</v>
      </c>
      <c r="C58" s="136" t="s">
        <v>131</v>
      </c>
      <c r="D58" s="55">
        <f>TRUNC(B58,2)</f>
        <v>0</v>
      </c>
      <c r="E58" s="61" t="s">
        <v>133</v>
      </c>
    </row>
    <row r="59" spans="1:5" ht="16.5" customHeight="1" thickBot="1" x14ac:dyDescent="0.25">
      <c r="A59" s="62" t="s">
        <v>134</v>
      </c>
      <c r="B59" s="108"/>
      <c r="C59" s="63" t="s">
        <v>39</v>
      </c>
      <c r="D59" s="77">
        <f>SUM(D58:D58)</f>
        <v>0</v>
      </c>
      <c r="E59" s="66" t="s">
        <v>31</v>
      </c>
    </row>
    <row r="60" spans="1:5" ht="17.25" customHeight="1" x14ac:dyDescent="0.2">
      <c r="A60" s="49" t="s">
        <v>135</v>
      </c>
      <c r="B60" s="109" t="s">
        <v>30</v>
      </c>
      <c r="C60" s="42" t="s">
        <v>35</v>
      </c>
      <c r="D60" s="50" t="s">
        <v>30</v>
      </c>
      <c r="E60" s="51" t="s">
        <v>36</v>
      </c>
    </row>
    <row r="61" spans="1:5" ht="76.5" x14ac:dyDescent="0.2">
      <c r="A61" s="52" t="s">
        <v>173</v>
      </c>
      <c r="B61" s="106">
        <v>36.57</v>
      </c>
      <c r="C61" s="54" t="str">
        <f>B61 &amp; " * 22"</f>
        <v>36,57 * 22</v>
      </c>
      <c r="D61" s="55">
        <f>TRUNC(B61*22,2)</f>
        <v>804.54</v>
      </c>
      <c r="E61" s="59" t="s">
        <v>169</v>
      </c>
    </row>
    <row r="62" spans="1:5" ht="30.75" customHeight="1" x14ac:dyDescent="0.2">
      <c r="A62" s="52" t="s">
        <v>136</v>
      </c>
      <c r="B62" s="106">
        <v>5.75</v>
      </c>
      <c r="C62" s="54" t="str">
        <f>B62&amp; " * 4 * 22"</f>
        <v>5,75 * 4 * 22</v>
      </c>
      <c r="D62" s="55">
        <f>TRUNC(B62*22*4,2)</f>
        <v>506</v>
      </c>
      <c r="E62" s="59" t="s">
        <v>166</v>
      </c>
    </row>
    <row r="63" spans="1:5" ht="17.25" customHeight="1" x14ac:dyDescent="0.2">
      <c r="A63" s="52" t="s">
        <v>137</v>
      </c>
      <c r="B63" s="106">
        <f>D63</f>
        <v>-288.89999999999998</v>
      </c>
      <c r="C63" s="54" t="s">
        <v>138</v>
      </c>
      <c r="D63" s="55">
        <f>IF(D62&gt;=TRUNC(0.06*D7,2),TRUNC(-0.06*D7,2),-D62)</f>
        <v>-288.89999999999998</v>
      </c>
      <c r="E63" s="79" t="s">
        <v>139</v>
      </c>
    </row>
    <row r="64" spans="1:5" ht="17.25" customHeight="1" x14ac:dyDescent="0.2">
      <c r="A64" s="52" t="s">
        <v>167</v>
      </c>
      <c r="B64" s="106">
        <v>393.02</v>
      </c>
      <c r="C64" s="54" t="str">
        <f>B64 &amp; " * 3"</f>
        <v>393,02 * 3</v>
      </c>
      <c r="D64" s="55">
        <f>ROUND(B64*3,2)</f>
        <v>1179.06</v>
      </c>
      <c r="E64" s="175" t="s">
        <v>165</v>
      </c>
    </row>
    <row r="65" spans="1:5" ht="17.25" customHeight="1" x14ac:dyDescent="0.2">
      <c r="A65" s="46" t="s">
        <v>168</v>
      </c>
      <c r="B65" s="110">
        <v>25</v>
      </c>
      <c r="C65" s="53" t="str">
        <f>B65&amp;" * 3/12"</f>
        <v>25 * 3/12</v>
      </c>
      <c r="D65" s="55">
        <f>ROUND(B65*3/12,2)</f>
        <v>6.25</v>
      </c>
      <c r="E65" s="176"/>
    </row>
    <row r="66" spans="1:5" ht="31.5" customHeight="1" x14ac:dyDescent="0.2">
      <c r="A66" s="57" t="s">
        <v>161</v>
      </c>
      <c r="B66" s="106">
        <f>'DETALHAMENTO VALORES SUBJETIVOS'!B22</f>
        <v>0</v>
      </c>
      <c r="C66" s="53" t="s">
        <v>140</v>
      </c>
      <c r="D66" s="89">
        <f>B66</f>
        <v>0</v>
      </c>
      <c r="E66" s="61" t="s">
        <v>141</v>
      </c>
    </row>
    <row r="67" spans="1:5" ht="17.25" customHeight="1" thickBot="1" x14ac:dyDescent="0.25">
      <c r="A67" s="62" t="s">
        <v>142</v>
      </c>
      <c r="B67" s="111"/>
      <c r="C67" s="63" t="s">
        <v>39</v>
      </c>
      <c r="D67" s="77">
        <f>SUM(D61:D66)</f>
        <v>2206.9499999999998</v>
      </c>
      <c r="E67" s="66" t="s">
        <v>31</v>
      </c>
    </row>
    <row r="68" spans="1:5" ht="33" customHeight="1" thickBot="1" x14ac:dyDescent="0.25">
      <c r="A68" s="181" t="s">
        <v>171</v>
      </c>
      <c r="B68" s="182"/>
      <c r="C68" s="182"/>
      <c r="D68" s="182"/>
      <c r="E68" s="182"/>
    </row>
    <row r="69" spans="1:5" ht="17.25" customHeight="1" thickBot="1" x14ac:dyDescent="0.25">
      <c r="A69" s="112" t="s">
        <v>143</v>
      </c>
      <c r="B69" s="113"/>
      <c r="C69" s="101" t="s">
        <v>144</v>
      </c>
      <c r="D69" s="102">
        <f>SUM(D59,D67)</f>
        <v>2206.9499999999998</v>
      </c>
      <c r="E69" s="103" t="s">
        <v>31</v>
      </c>
    </row>
    <row r="70" spans="1:5" ht="26.25" customHeight="1" thickBot="1" x14ac:dyDescent="0.25">
      <c r="A70" s="118" t="s">
        <v>145</v>
      </c>
      <c r="B70" s="119" t="s">
        <v>31</v>
      </c>
      <c r="C70" s="119" t="s">
        <v>146</v>
      </c>
      <c r="D70" s="120">
        <f>SUM(D8,D54,D69)</f>
        <v>10822.189999999999</v>
      </c>
      <c r="E70" s="103" t="s">
        <v>31</v>
      </c>
    </row>
    <row r="71" spans="1:5" ht="13.5" thickBot="1" x14ac:dyDescent="0.25">
      <c r="A71" s="121"/>
      <c r="B71" s="122"/>
      <c r="C71" s="122"/>
      <c r="D71" s="123"/>
      <c r="E71" s="124"/>
    </row>
    <row r="72" spans="1:5" ht="17.25" customHeight="1" x14ac:dyDescent="0.2">
      <c r="A72" s="49" t="s">
        <v>147</v>
      </c>
      <c r="B72" s="42" t="s">
        <v>42</v>
      </c>
      <c r="C72" s="42" t="s">
        <v>35</v>
      </c>
      <c r="D72" s="50" t="s">
        <v>30</v>
      </c>
      <c r="E72" s="51" t="s">
        <v>36</v>
      </c>
    </row>
    <row r="73" spans="1:5" ht="17.25" customHeight="1" x14ac:dyDescent="0.2">
      <c r="A73" s="52" t="s">
        <v>20</v>
      </c>
      <c r="B73" s="74">
        <f>'Quadro Resumo'!C13</f>
        <v>0</v>
      </c>
      <c r="C73" s="177" t="s">
        <v>148</v>
      </c>
      <c r="D73" s="125">
        <f>TRUNC(B73*D70,2)</f>
        <v>0</v>
      </c>
      <c r="E73" s="56" t="s">
        <v>31</v>
      </c>
    </row>
    <row r="74" spans="1:5" ht="30.75" customHeight="1" x14ac:dyDescent="0.2">
      <c r="A74" s="52" t="s">
        <v>21</v>
      </c>
      <c r="B74" s="74">
        <f>'Quadro Resumo'!C14</f>
        <v>0</v>
      </c>
      <c r="C74" s="178"/>
      <c r="D74" s="125">
        <f>TRUNC(B74*D70,2)</f>
        <v>0</v>
      </c>
      <c r="E74" s="59" t="s">
        <v>149</v>
      </c>
    </row>
    <row r="75" spans="1:5" ht="16.5" customHeight="1" thickBot="1" x14ac:dyDescent="0.25">
      <c r="A75" s="62" t="s">
        <v>150</v>
      </c>
      <c r="B75" s="76">
        <f>SUM(B73:B74)</f>
        <v>0</v>
      </c>
      <c r="C75" s="63" t="s">
        <v>39</v>
      </c>
      <c r="D75" s="65">
        <f>SUM(D73:D74)</f>
        <v>0</v>
      </c>
      <c r="E75" s="66" t="s">
        <v>31</v>
      </c>
    </row>
    <row r="76" spans="1:5" ht="24" customHeight="1" thickBot="1" x14ac:dyDescent="0.25">
      <c r="A76" s="126"/>
      <c r="B76" s="47"/>
      <c r="C76" s="47"/>
      <c r="D76" s="48"/>
      <c r="E76" s="47"/>
    </row>
    <row r="77" spans="1:5" ht="16.5" customHeight="1" x14ac:dyDescent="0.2">
      <c r="A77" s="127" t="s">
        <v>151</v>
      </c>
      <c r="B77" s="42" t="s">
        <v>42</v>
      </c>
      <c r="C77" s="42" t="s">
        <v>35</v>
      </c>
      <c r="D77" s="50" t="s">
        <v>30</v>
      </c>
      <c r="E77" s="51" t="s">
        <v>36</v>
      </c>
    </row>
    <row r="78" spans="1:5" ht="16.5" customHeight="1" x14ac:dyDescent="0.2">
      <c r="A78" s="52" t="s">
        <v>25</v>
      </c>
      <c r="B78" s="74">
        <f>'Quadro Resumo'!C20</f>
        <v>0</v>
      </c>
      <c r="C78" s="179" t="s">
        <v>152</v>
      </c>
      <c r="D78" s="55">
        <f>TRUNC((($D$70+$D$75)/(1-(($B$78+$B$79+$B$80))))*(B78),2)</f>
        <v>0</v>
      </c>
      <c r="E78" s="79" t="s">
        <v>153</v>
      </c>
    </row>
    <row r="79" spans="1:5" ht="16.5" customHeight="1" x14ac:dyDescent="0.2">
      <c r="A79" s="52" t="s">
        <v>26</v>
      </c>
      <c r="B79" s="74">
        <f>'Quadro Resumo'!C21</f>
        <v>0</v>
      </c>
      <c r="C79" s="180"/>
      <c r="D79" s="55">
        <f>TRUNC((($D$70+$D$75)/(1-(($B$78+$B$79+$B$80))))*(B79),2)</f>
        <v>0</v>
      </c>
      <c r="E79" s="59" t="s">
        <v>154</v>
      </c>
    </row>
    <row r="80" spans="1:5" ht="16.5" customHeight="1" x14ac:dyDescent="0.2">
      <c r="A80" s="52" t="s">
        <v>27</v>
      </c>
      <c r="B80" s="74">
        <f>'Quadro Resumo'!C22</f>
        <v>0</v>
      </c>
      <c r="C80" s="180"/>
      <c r="D80" s="55">
        <f>TRUNC((($D$70+$D$75)/(1-(($B$78+$B$79+$B$80))))*(B80),2)</f>
        <v>0</v>
      </c>
      <c r="E80" s="79" t="s">
        <v>155</v>
      </c>
    </row>
    <row r="81" spans="1:5" ht="16.5" customHeight="1" thickBot="1" x14ac:dyDescent="0.25">
      <c r="A81" s="62" t="s">
        <v>156</v>
      </c>
      <c r="B81" s="76">
        <f>SUM(B78:B80)</f>
        <v>0</v>
      </c>
      <c r="C81" s="63" t="s">
        <v>39</v>
      </c>
      <c r="D81" s="77">
        <f>SUM(D78:D80)</f>
        <v>0</v>
      </c>
      <c r="E81" s="66" t="s">
        <v>31</v>
      </c>
    </row>
    <row r="82" spans="1:5" ht="13.5" thickBot="1" x14ac:dyDescent="0.25">
      <c r="A82" s="46"/>
      <c r="B82" s="47"/>
      <c r="C82" s="47"/>
      <c r="D82" s="48"/>
      <c r="E82" s="47"/>
    </row>
    <row r="83" spans="1:5" ht="16.5" customHeight="1" thickBot="1" x14ac:dyDescent="0.25">
      <c r="A83" s="128" t="s">
        <v>157</v>
      </c>
      <c r="B83" s="129" t="s">
        <v>31</v>
      </c>
      <c r="C83" s="42" t="s">
        <v>35</v>
      </c>
      <c r="D83" s="130" t="s">
        <v>158</v>
      </c>
      <c r="E83" s="51" t="s">
        <v>159</v>
      </c>
    </row>
    <row r="84" spans="1:5" ht="16.5" customHeight="1" thickBot="1" x14ac:dyDescent="0.25">
      <c r="A84" s="131"/>
      <c r="B84" s="132" t="s">
        <v>31</v>
      </c>
      <c r="C84" s="132" t="s">
        <v>160</v>
      </c>
      <c r="D84" s="133">
        <f>SUM(D70,D75,D81)</f>
        <v>10822.189999999999</v>
      </c>
      <c r="E84" s="134">
        <f>D84*12</f>
        <v>129866.27999999998</v>
      </c>
    </row>
  </sheetData>
  <sheetProtection algorithmName="SHA-512" hashValue="WPj0qF0A9VJ7UIzZlckhHiMu/G3LvhziYJuiKZcTu+kHEolV6hGnlaPeVn6f1S2CqETP0es13sXyK1vopAiVVg==" saltValue="Rez8SFfeO16JvIt4ymJnkw==" spinCount="100000" sheet="1" objects="1" scenarios="1"/>
  <mergeCells count="11">
    <mergeCell ref="A56:E56"/>
    <mergeCell ref="E64:E65"/>
    <mergeCell ref="C73:C74"/>
    <mergeCell ref="C78:C80"/>
    <mergeCell ref="A68:E68"/>
    <mergeCell ref="B51:E51"/>
    <mergeCell ref="A1:E1"/>
    <mergeCell ref="A10:E10"/>
    <mergeCell ref="D40:E40"/>
    <mergeCell ref="B41:E41"/>
    <mergeCell ref="B50:E50"/>
  </mergeCells>
  <conditionalFormatting sqref="B66">
    <cfRule type="expression" dxfId="2" priority="1">
      <formula>ISBLANK($B$66)</formula>
    </cfRule>
  </conditionalFormatting>
  <pageMargins left="0.51181102362204722" right="0.51181102362204722" top="0.78740157480314965" bottom="0.78740157480314965" header="0.31496062992125984" footer="0.31496062992125984"/>
  <pageSetup paperSize="9" scale="42" orientation="portrait" r:id="rId1"/>
  <headerFooter>
    <oddFooter>&amp;C_x000D_&amp;1#&amp;"Calibri"&amp;10&amp;K000000 INFORMAÇÃO CONTROLADA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5D74-EEBB-48AF-A8ED-08AFEE0F3CD2}">
  <sheetPr>
    <pageSetUpPr fitToPage="1"/>
  </sheetPr>
  <dimension ref="A1:E84"/>
  <sheetViews>
    <sheetView zoomScale="90" zoomScaleNormal="90" workbookViewId="0">
      <selection activeCell="B67" sqref="B67"/>
    </sheetView>
  </sheetViews>
  <sheetFormatPr defaultColWidth="9.140625" defaultRowHeight="12.75" x14ac:dyDescent="0.2"/>
  <cols>
    <col min="1" max="1" width="68.5703125" style="36" customWidth="1"/>
    <col min="2" max="2" width="15.140625" style="36" customWidth="1"/>
    <col min="3" max="3" width="64" style="36" customWidth="1"/>
    <col min="4" max="4" width="13.5703125" style="135" customWidth="1"/>
    <col min="5" max="5" width="57.85546875" style="36" customWidth="1"/>
    <col min="6" max="16384" width="9.140625" style="36"/>
  </cols>
  <sheetData>
    <row r="1" spans="1:5" ht="20.25" thickBot="1" x14ac:dyDescent="0.25">
      <c r="A1" s="162" t="str">
        <f>"PLANILHA DE COMPOSIÇÃO DE CUSTOS E FORMAÇÃO DE PREÇOS - " &amp;'Quadro Resumo'!B8</f>
        <v>PLANILHA DE COMPOSIÇÃO DE CUSTOS E FORMAÇÃO DE PREÇOS - ASSISTENTE ADMINISTRATIVO II</v>
      </c>
      <c r="B1" s="163"/>
      <c r="C1" s="163"/>
      <c r="D1" s="163"/>
      <c r="E1" s="164"/>
    </row>
    <row r="2" spans="1:5" ht="20.25" thickBot="1" x14ac:dyDescent="0.25">
      <c r="A2" s="37"/>
      <c r="B2" s="38"/>
      <c r="C2" s="38"/>
      <c r="D2" s="39"/>
      <c r="E2" s="40"/>
    </row>
    <row r="3" spans="1:5" ht="17.25" customHeight="1" x14ac:dyDescent="0.2">
      <c r="A3" s="41" t="s">
        <v>29</v>
      </c>
      <c r="B3" s="42"/>
      <c r="C3" s="42"/>
      <c r="D3" s="42" t="s">
        <v>30</v>
      </c>
      <c r="E3" s="42" t="s">
        <v>31</v>
      </c>
    </row>
    <row r="4" spans="1:5" ht="17.25" customHeight="1" thickBot="1" x14ac:dyDescent="0.25">
      <c r="A4" s="43" t="str">
        <f>'Quadro Resumo'!B8</f>
        <v>ASSISTENTE ADMINISTRATIVO II</v>
      </c>
      <c r="B4" s="44"/>
      <c r="C4" s="44" t="s">
        <v>32</v>
      </c>
      <c r="D4" s="151">
        <f>'Quadro Resumo'!C8</f>
        <v>7202.11</v>
      </c>
      <c r="E4" s="45" t="s">
        <v>31</v>
      </c>
    </row>
    <row r="5" spans="1:5" ht="13.5" thickBot="1" x14ac:dyDescent="0.25">
      <c r="A5" s="46"/>
      <c r="B5" s="47"/>
      <c r="C5" s="47"/>
      <c r="D5" s="48"/>
      <c r="E5" s="47"/>
    </row>
    <row r="6" spans="1:5" ht="17.25" customHeight="1" x14ac:dyDescent="0.2">
      <c r="A6" s="49" t="s">
        <v>33</v>
      </c>
      <c r="B6" s="42" t="s">
        <v>34</v>
      </c>
      <c r="C6" s="42" t="s">
        <v>35</v>
      </c>
      <c r="D6" s="50" t="s">
        <v>30</v>
      </c>
      <c r="E6" s="51" t="s">
        <v>36</v>
      </c>
    </row>
    <row r="7" spans="1:5" ht="17.25" customHeight="1" x14ac:dyDescent="0.2">
      <c r="A7" s="52" t="s">
        <v>37</v>
      </c>
      <c r="B7" s="53" t="s">
        <v>31</v>
      </c>
      <c r="C7" s="54" t="s">
        <v>31</v>
      </c>
      <c r="D7" s="55">
        <f>TRUNC(D4,2)</f>
        <v>7202.11</v>
      </c>
      <c r="E7" s="56"/>
    </row>
    <row r="8" spans="1:5" ht="16.5" customHeight="1" thickBot="1" x14ac:dyDescent="0.25">
      <c r="A8" s="62" t="s">
        <v>38</v>
      </c>
      <c r="B8" s="63" t="s">
        <v>31</v>
      </c>
      <c r="C8" s="64" t="s">
        <v>39</v>
      </c>
      <c r="D8" s="65">
        <f>SUM(D7:D7)</f>
        <v>7202.11</v>
      </c>
      <c r="E8" s="66" t="s">
        <v>31</v>
      </c>
    </row>
    <row r="9" spans="1:5" ht="13.5" customHeight="1" thickBot="1" x14ac:dyDescent="0.25">
      <c r="A9" s="67"/>
      <c r="B9" s="68"/>
      <c r="C9" s="69"/>
      <c r="D9" s="48"/>
      <c r="E9" s="47"/>
    </row>
    <row r="10" spans="1:5" ht="16.5" customHeight="1" thickBot="1" x14ac:dyDescent="0.25">
      <c r="A10" s="165" t="s">
        <v>40</v>
      </c>
      <c r="B10" s="166"/>
      <c r="C10" s="166"/>
      <c r="D10" s="166"/>
      <c r="E10" s="167"/>
    </row>
    <row r="11" spans="1:5" ht="16.5" customHeight="1" x14ac:dyDescent="0.2">
      <c r="A11" s="49" t="s">
        <v>41</v>
      </c>
      <c r="B11" s="42" t="s">
        <v>42</v>
      </c>
      <c r="C11" s="42" t="s">
        <v>35</v>
      </c>
      <c r="D11" s="50" t="s">
        <v>30</v>
      </c>
      <c r="E11" s="51" t="s">
        <v>36</v>
      </c>
    </row>
    <row r="12" spans="1:5" ht="16.5" customHeight="1" x14ac:dyDescent="0.2">
      <c r="A12" s="52" t="s">
        <v>43</v>
      </c>
      <c r="B12" s="74">
        <v>0.2</v>
      </c>
      <c r="C12" s="54" t="s">
        <v>44</v>
      </c>
      <c r="D12" s="55">
        <f>TRUNC(B12*$D$8,2)</f>
        <v>1440.42</v>
      </c>
      <c r="E12" s="71" t="s">
        <v>45</v>
      </c>
    </row>
    <row r="13" spans="1:5" ht="16.5" customHeight="1" x14ac:dyDescent="0.2">
      <c r="A13" s="52" t="s">
        <v>46</v>
      </c>
      <c r="B13" s="74">
        <v>0.08</v>
      </c>
      <c r="C13" s="54" t="s">
        <v>47</v>
      </c>
      <c r="D13" s="55">
        <f t="shared" ref="D13:D19" si="0">TRUNC(B13*$D$8,2)</f>
        <v>576.16</v>
      </c>
      <c r="E13" s="72" t="s">
        <v>48</v>
      </c>
    </row>
    <row r="14" spans="1:5" ht="17.25" customHeight="1" x14ac:dyDescent="0.2">
      <c r="A14" s="52" t="s">
        <v>49</v>
      </c>
      <c r="B14" s="74">
        <v>1.4999999999999999E-2</v>
      </c>
      <c r="C14" s="54" t="s">
        <v>50</v>
      </c>
      <c r="D14" s="55">
        <f t="shared" si="0"/>
        <v>108.03</v>
      </c>
      <c r="E14" s="72" t="s">
        <v>51</v>
      </c>
    </row>
    <row r="15" spans="1:5" ht="17.25" customHeight="1" x14ac:dyDescent="0.2">
      <c r="A15" s="52" t="s">
        <v>52</v>
      </c>
      <c r="B15" s="74">
        <v>0.01</v>
      </c>
      <c r="C15" s="54" t="s">
        <v>53</v>
      </c>
      <c r="D15" s="55">
        <f t="shared" si="0"/>
        <v>72.02</v>
      </c>
      <c r="E15" s="72" t="s">
        <v>54</v>
      </c>
    </row>
    <row r="16" spans="1:5" ht="17.25" customHeight="1" x14ac:dyDescent="0.2">
      <c r="A16" s="52" t="s">
        <v>55</v>
      </c>
      <c r="B16" s="74">
        <v>2E-3</v>
      </c>
      <c r="C16" s="54" t="s">
        <v>56</v>
      </c>
      <c r="D16" s="55">
        <f t="shared" si="0"/>
        <v>14.4</v>
      </c>
      <c r="E16" s="72" t="s">
        <v>57</v>
      </c>
    </row>
    <row r="17" spans="1:5" ht="17.25" customHeight="1" x14ac:dyDescent="0.2">
      <c r="A17" s="52" t="s">
        <v>58</v>
      </c>
      <c r="B17" s="74">
        <v>6.0000000000000001E-3</v>
      </c>
      <c r="C17" s="54" t="s">
        <v>59</v>
      </c>
      <c r="D17" s="55">
        <f t="shared" si="0"/>
        <v>43.21</v>
      </c>
      <c r="E17" s="72" t="s">
        <v>60</v>
      </c>
    </row>
    <row r="18" spans="1:5" ht="17.25" customHeight="1" x14ac:dyDescent="0.2">
      <c r="A18" s="52" t="s">
        <v>61</v>
      </c>
      <c r="B18" s="74">
        <v>2.5000000000000001E-2</v>
      </c>
      <c r="C18" s="54" t="s">
        <v>62</v>
      </c>
      <c r="D18" s="55">
        <f t="shared" si="0"/>
        <v>180.05</v>
      </c>
      <c r="E18" s="72" t="s">
        <v>63</v>
      </c>
    </row>
    <row r="19" spans="1:5" ht="17.25" customHeight="1" x14ac:dyDescent="0.2">
      <c r="A19" s="73" t="s">
        <v>64</v>
      </c>
      <c r="B19" s="74">
        <f>'Quadro Resumo'!C17</f>
        <v>0</v>
      </c>
      <c r="C19" s="54" t="s">
        <v>65</v>
      </c>
      <c r="D19" s="55">
        <f t="shared" si="0"/>
        <v>0</v>
      </c>
      <c r="E19" s="75" t="s">
        <v>66</v>
      </c>
    </row>
    <row r="20" spans="1:5" ht="17.25" customHeight="1" thickBot="1" x14ac:dyDescent="0.25">
      <c r="A20" s="62" t="s">
        <v>67</v>
      </c>
      <c r="B20" s="76">
        <f>SUM(B12:B19)</f>
        <v>0.33800000000000008</v>
      </c>
      <c r="C20" s="63" t="s">
        <v>39</v>
      </c>
      <c r="D20" s="77">
        <f>SUM(D12:D19)</f>
        <v>2434.2900000000004</v>
      </c>
      <c r="E20" s="66" t="s">
        <v>31</v>
      </c>
    </row>
    <row r="21" spans="1:5" ht="13.5" thickBot="1" x14ac:dyDescent="0.25">
      <c r="A21" s="46"/>
      <c r="B21" s="47"/>
      <c r="C21" s="47"/>
      <c r="D21" s="48"/>
      <c r="E21" s="78"/>
    </row>
    <row r="22" spans="1:5" ht="15.75" customHeight="1" x14ac:dyDescent="0.2">
      <c r="A22" s="49" t="s">
        <v>68</v>
      </c>
      <c r="B22" s="42" t="s">
        <v>42</v>
      </c>
      <c r="C22" s="42" t="s">
        <v>35</v>
      </c>
      <c r="D22" s="50" t="s">
        <v>30</v>
      </c>
      <c r="E22" s="51" t="s">
        <v>36</v>
      </c>
    </row>
    <row r="23" spans="1:5" ht="15.75" customHeight="1" x14ac:dyDescent="0.2">
      <c r="A23" s="52" t="s">
        <v>69</v>
      </c>
      <c r="B23" s="74">
        <f>(1/12)</f>
        <v>8.3333333333333329E-2</v>
      </c>
      <c r="C23" s="54" t="s">
        <v>70</v>
      </c>
      <c r="D23" s="55">
        <f>TRUNC(B23*$D$8,2)</f>
        <v>600.16999999999996</v>
      </c>
      <c r="E23" s="72" t="s">
        <v>71</v>
      </c>
    </row>
    <row r="24" spans="1:5" ht="15.75" customHeight="1" x14ac:dyDescent="0.2">
      <c r="A24" s="57" t="s">
        <v>72</v>
      </c>
      <c r="B24" s="149">
        <f>B20*B23</f>
        <v>2.8166666666666673E-2</v>
      </c>
      <c r="C24" s="53" t="s">
        <v>73</v>
      </c>
      <c r="D24" s="55">
        <f>TRUNC(B24*$D$8,2)</f>
        <v>202.85</v>
      </c>
      <c r="E24" s="79" t="s">
        <v>74</v>
      </c>
    </row>
    <row r="25" spans="1:5" ht="16.5" customHeight="1" thickBot="1" x14ac:dyDescent="0.25">
      <c r="A25" s="62" t="s">
        <v>75</v>
      </c>
      <c r="B25" s="76">
        <f>SUM(B23:B24)</f>
        <v>0.1115</v>
      </c>
      <c r="C25" s="63" t="s">
        <v>39</v>
      </c>
      <c r="D25" s="77">
        <f>SUM(D23:D24)</f>
        <v>803.02</v>
      </c>
      <c r="E25" s="66" t="s">
        <v>31</v>
      </c>
    </row>
    <row r="26" spans="1:5" ht="13.5" thickBot="1" x14ac:dyDescent="0.25">
      <c r="A26" s="80"/>
      <c r="B26" s="81"/>
      <c r="C26" s="81"/>
      <c r="D26" s="82"/>
      <c r="E26" s="83"/>
    </row>
    <row r="27" spans="1:5" ht="17.25" customHeight="1" x14ac:dyDescent="0.2">
      <c r="A27" s="49" t="s">
        <v>76</v>
      </c>
      <c r="B27" s="42" t="s">
        <v>42</v>
      </c>
      <c r="C27" s="42" t="s">
        <v>35</v>
      </c>
      <c r="D27" s="50" t="s">
        <v>30</v>
      </c>
      <c r="E27" s="51" t="s">
        <v>36</v>
      </c>
    </row>
    <row r="28" spans="1:5" ht="16.5" customHeight="1" x14ac:dyDescent="0.2">
      <c r="A28" s="52" t="s">
        <v>77</v>
      </c>
      <c r="B28" s="74">
        <f>1/12</f>
        <v>8.3333333333333329E-2</v>
      </c>
      <c r="C28" s="54" t="s">
        <v>70</v>
      </c>
      <c r="D28" s="55">
        <f t="shared" ref="D28:D35" si="1">TRUNC(B28*$D$8,2)</f>
        <v>600.16999999999996</v>
      </c>
      <c r="E28" s="72" t="s">
        <v>78</v>
      </c>
    </row>
    <row r="29" spans="1:5" ht="16.5" customHeight="1" x14ac:dyDescent="0.2">
      <c r="A29" s="52" t="s">
        <v>79</v>
      </c>
      <c r="B29" s="150">
        <f>(1/3)/12</f>
        <v>2.7777777777777776E-2</v>
      </c>
      <c r="C29" s="54" t="s">
        <v>80</v>
      </c>
      <c r="D29" s="55">
        <f t="shared" si="1"/>
        <v>200.05</v>
      </c>
      <c r="E29" s="72" t="s">
        <v>78</v>
      </c>
    </row>
    <row r="30" spans="1:5" ht="16.5" customHeight="1" x14ac:dyDescent="0.2">
      <c r="A30" s="52" t="s">
        <v>81</v>
      </c>
      <c r="B30" s="74">
        <f>D30/D8</f>
        <v>2.3023808300623012E-2</v>
      </c>
      <c r="C30" s="54" t="s">
        <v>82</v>
      </c>
      <c r="D30" s="55">
        <f>TRUNC((D69-(D62+D63))/12,2)</f>
        <v>165.82</v>
      </c>
      <c r="E30" s="72" t="s">
        <v>83</v>
      </c>
    </row>
    <row r="31" spans="1:5" ht="16.5" customHeight="1" x14ac:dyDescent="0.2">
      <c r="A31" s="52" t="s">
        <v>84</v>
      </c>
      <c r="B31" s="74">
        <f>(5.96/30)/12</f>
        <v>1.6555555555555556E-2</v>
      </c>
      <c r="C31" s="54" t="s">
        <v>85</v>
      </c>
      <c r="D31" s="55">
        <f t="shared" si="1"/>
        <v>119.23</v>
      </c>
      <c r="E31" s="72" t="s">
        <v>86</v>
      </c>
    </row>
    <row r="32" spans="1:5" ht="16.5" customHeight="1" x14ac:dyDescent="0.2">
      <c r="A32" s="52" t="s">
        <v>87</v>
      </c>
      <c r="B32" s="74">
        <f>(((15/30)/12)*0.00743)</f>
        <v>3.0958333333333331E-4</v>
      </c>
      <c r="C32" s="84" t="s">
        <v>163</v>
      </c>
      <c r="D32" s="55">
        <f t="shared" si="1"/>
        <v>2.2200000000000002</v>
      </c>
      <c r="E32" s="72" t="s">
        <v>88</v>
      </c>
    </row>
    <row r="33" spans="1:5" ht="16.5" customHeight="1" x14ac:dyDescent="0.2">
      <c r="A33" s="52" t="s">
        <v>89</v>
      </c>
      <c r="B33" s="74">
        <f>(2.96/30)/12</f>
        <v>8.2222222222222228E-3</v>
      </c>
      <c r="C33" s="34" t="s">
        <v>90</v>
      </c>
      <c r="D33" s="55">
        <f t="shared" si="1"/>
        <v>59.21</v>
      </c>
      <c r="E33" s="72" t="s">
        <v>91</v>
      </c>
    </row>
    <row r="34" spans="1:5" ht="16.5" customHeight="1" x14ac:dyDescent="0.2">
      <c r="A34" s="52" t="s">
        <v>92</v>
      </c>
      <c r="B34" s="74">
        <f>(5/30)/12*0.01057*0.59</f>
        <v>8.6615277777777759E-5</v>
      </c>
      <c r="C34" s="58" t="s">
        <v>185</v>
      </c>
      <c r="D34" s="55">
        <f t="shared" si="1"/>
        <v>0.62</v>
      </c>
      <c r="E34" s="72" t="s">
        <v>93</v>
      </c>
    </row>
    <row r="35" spans="1:5" ht="16.5" customHeight="1" x14ac:dyDescent="0.2">
      <c r="A35" s="52" t="s">
        <v>94</v>
      </c>
      <c r="B35" s="85">
        <f>(7/30)/12</f>
        <v>1.9444444444444445E-2</v>
      </c>
      <c r="C35" s="86" t="s">
        <v>95</v>
      </c>
      <c r="D35" s="55">
        <f t="shared" si="1"/>
        <v>140.04</v>
      </c>
      <c r="E35" s="79" t="s">
        <v>96</v>
      </c>
    </row>
    <row r="36" spans="1:5" ht="24" x14ac:dyDescent="0.2">
      <c r="A36" s="52" t="s">
        <v>97</v>
      </c>
      <c r="B36" s="85">
        <f>D36/D8</f>
        <v>5.59558240571166E-4</v>
      </c>
      <c r="C36" s="86" t="s">
        <v>186</v>
      </c>
      <c r="D36" s="55">
        <f>TRUNC(((D8*(1+(1/3))/12)+D69-(D62+D63))*(4/12)*0.01057*0.41,2)</f>
        <v>4.03</v>
      </c>
      <c r="E36" s="72" t="s">
        <v>78</v>
      </c>
    </row>
    <row r="37" spans="1:5" ht="29.25" customHeight="1" x14ac:dyDescent="0.2">
      <c r="A37" s="73" t="s">
        <v>98</v>
      </c>
      <c r="B37" s="74">
        <f>B20*SUM(B28:B35)</f>
        <v>6.0418629002832812E-2</v>
      </c>
      <c r="C37" s="86" t="s">
        <v>99</v>
      </c>
      <c r="D37" s="55">
        <f>TRUNC(B37*$D$8,2)</f>
        <v>435.14</v>
      </c>
      <c r="E37" s="79" t="s">
        <v>74</v>
      </c>
    </row>
    <row r="38" spans="1:5" ht="27.75" customHeight="1" x14ac:dyDescent="0.2">
      <c r="A38" s="73" t="s">
        <v>100</v>
      </c>
      <c r="B38" s="85">
        <f>B20*B36</f>
        <v>1.8913068531305416E-4</v>
      </c>
      <c r="C38" s="58" t="s">
        <v>101</v>
      </c>
      <c r="D38" s="55">
        <f>TRUNC(B38*$D$8,2)</f>
        <v>1.36</v>
      </c>
      <c r="E38" s="72" t="s">
        <v>102</v>
      </c>
    </row>
    <row r="39" spans="1:5" ht="16.5" customHeight="1" thickBot="1" x14ac:dyDescent="0.25">
      <c r="A39" s="62" t="s">
        <v>103</v>
      </c>
      <c r="B39" s="76">
        <f>SUM(B28:B38)</f>
        <v>0.2399206581737845</v>
      </c>
      <c r="C39" s="63" t="s">
        <v>39</v>
      </c>
      <c r="D39" s="87">
        <f>SUM(D28:D38)</f>
        <v>1727.8899999999996</v>
      </c>
      <c r="E39" s="66" t="s">
        <v>31</v>
      </c>
    </row>
    <row r="40" spans="1:5" ht="27" customHeight="1" x14ac:dyDescent="0.2">
      <c r="A40" s="141" t="s">
        <v>104</v>
      </c>
      <c r="B40" s="142" t="s">
        <v>105</v>
      </c>
      <c r="D40" s="183" t="s">
        <v>187</v>
      </c>
      <c r="E40" s="169"/>
    </row>
    <row r="41" spans="1:5" ht="15" x14ac:dyDescent="0.25">
      <c r="A41" s="141" t="s">
        <v>106</v>
      </c>
      <c r="B41" s="159" t="s">
        <v>181</v>
      </c>
      <c r="C41" s="170"/>
      <c r="D41" s="171"/>
      <c r="E41" s="172"/>
    </row>
    <row r="42" spans="1:5" ht="16.5" customHeight="1" thickBot="1" x14ac:dyDescent="0.25">
      <c r="A42" s="94" t="s">
        <v>162</v>
      </c>
      <c r="B42" s="142" t="s">
        <v>107</v>
      </c>
      <c r="D42" s="143"/>
      <c r="E42" s="144"/>
    </row>
    <row r="43" spans="1:5" ht="16.5" customHeight="1" x14ac:dyDescent="0.2">
      <c r="A43" s="49" t="s">
        <v>108</v>
      </c>
      <c r="B43" s="42" t="s">
        <v>42</v>
      </c>
      <c r="C43" s="42" t="s">
        <v>35</v>
      </c>
      <c r="D43" s="50" t="s">
        <v>30</v>
      </c>
      <c r="E43" s="51" t="s">
        <v>36</v>
      </c>
    </row>
    <row r="44" spans="1:5" ht="16.5" customHeight="1" x14ac:dyDescent="0.2">
      <c r="A44" s="57" t="s">
        <v>109</v>
      </c>
      <c r="B44" s="88">
        <f>(1/12)*0.055*(1+B28+B29)</f>
        <v>5.0925925925925921E-3</v>
      </c>
      <c r="C44" s="60" t="s">
        <v>110</v>
      </c>
      <c r="D44" s="89">
        <f>TRUNC(B44*$D$8,2)</f>
        <v>36.67</v>
      </c>
      <c r="E44" s="90" t="s">
        <v>111</v>
      </c>
    </row>
    <row r="45" spans="1:5" ht="16.5" customHeight="1" x14ac:dyDescent="0.2">
      <c r="A45" s="57" t="s">
        <v>112</v>
      </c>
      <c r="B45" s="91">
        <f>(1/12)*0.055*(1+B28+B29)*0.08</f>
        <v>4.0740740740740738E-4</v>
      </c>
      <c r="C45" s="53" t="s">
        <v>113</v>
      </c>
      <c r="D45" s="89">
        <f>TRUNC(B45*$D$8,2)</f>
        <v>2.93</v>
      </c>
      <c r="E45" s="90" t="s">
        <v>114</v>
      </c>
    </row>
    <row r="46" spans="1:5" ht="16.5" customHeight="1" x14ac:dyDescent="0.2">
      <c r="A46" s="52" t="s">
        <v>115</v>
      </c>
      <c r="B46" s="92">
        <f>0.5*0.08</f>
        <v>0.04</v>
      </c>
      <c r="C46" s="58" t="s">
        <v>116</v>
      </c>
      <c r="D46" s="89">
        <f>TRUNC(B46*$D$8,2)</f>
        <v>288.08</v>
      </c>
      <c r="E46" s="90" t="s">
        <v>117</v>
      </c>
    </row>
    <row r="47" spans="1:5" ht="17.25" customHeight="1" x14ac:dyDescent="0.2">
      <c r="A47" s="52" t="s">
        <v>118</v>
      </c>
      <c r="B47" s="88">
        <f>(1/12)*0.01</f>
        <v>8.3333333333333328E-4</v>
      </c>
      <c r="C47" s="60" t="s">
        <v>119</v>
      </c>
      <c r="D47" s="89">
        <f>TRUNC(B47*$D$8,2)</f>
        <v>6</v>
      </c>
      <c r="E47" s="79" t="s">
        <v>120</v>
      </c>
    </row>
    <row r="48" spans="1:5" ht="17.25" customHeight="1" x14ac:dyDescent="0.2">
      <c r="A48" s="57" t="s">
        <v>175</v>
      </c>
      <c r="B48" s="85">
        <f>0.08*B32</f>
        <v>2.4766666666666664E-5</v>
      </c>
      <c r="C48" s="60" t="s">
        <v>176</v>
      </c>
      <c r="D48" s="89">
        <f>TRUNC(B48*$D$8,2)</f>
        <v>0.17</v>
      </c>
      <c r="E48" s="90" t="s">
        <v>174</v>
      </c>
    </row>
    <row r="49" spans="1:5" ht="17.25" customHeight="1" thickBot="1" x14ac:dyDescent="0.25">
      <c r="A49" s="62" t="s">
        <v>121</v>
      </c>
      <c r="B49" s="76">
        <f>SUM(B44:B48)</f>
        <v>4.6358099999999999E-2</v>
      </c>
      <c r="C49" s="63" t="s">
        <v>39</v>
      </c>
      <c r="D49" s="77">
        <f>SUM(D44:D48)</f>
        <v>333.85</v>
      </c>
      <c r="E49" s="66" t="s">
        <v>31</v>
      </c>
    </row>
    <row r="50" spans="1:5" ht="13.5" x14ac:dyDescent="0.2">
      <c r="A50" s="93" t="s">
        <v>122</v>
      </c>
      <c r="B50" s="173" t="s">
        <v>123</v>
      </c>
      <c r="C50" s="173"/>
      <c r="D50" s="173"/>
      <c r="E50" s="174"/>
    </row>
    <row r="51" spans="1:5" ht="13.5" x14ac:dyDescent="0.2">
      <c r="A51" s="94" t="s">
        <v>177</v>
      </c>
      <c r="B51" s="159"/>
      <c r="C51" s="160"/>
      <c r="D51" s="160"/>
      <c r="E51" s="161"/>
    </row>
    <row r="52" spans="1:5" ht="18" customHeight="1" x14ac:dyDescent="0.2">
      <c r="A52" s="95" t="s">
        <v>124</v>
      </c>
      <c r="B52" s="96" t="s">
        <v>42</v>
      </c>
      <c r="C52" s="96" t="s">
        <v>35</v>
      </c>
      <c r="D52" s="97" t="s">
        <v>30</v>
      </c>
      <c r="E52" s="96" t="s">
        <v>36</v>
      </c>
    </row>
    <row r="53" spans="1:5" ht="24.75" thickBot="1" x14ac:dyDescent="0.25">
      <c r="A53" s="148" t="s">
        <v>125</v>
      </c>
      <c r="B53" s="85">
        <f>SUM(B28,B31,B32,B33,B34,B35,B36)*(B23+B28+B29+B13)</f>
        <v>3.5269215738430823E-2</v>
      </c>
      <c r="C53" s="86" t="s">
        <v>126</v>
      </c>
      <c r="D53" s="55">
        <f>TRUNC(B53*$D$8,2)</f>
        <v>254.01</v>
      </c>
      <c r="E53" s="98"/>
    </row>
    <row r="54" spans="1:5" ht="16.5" customHeight="1" thickBot="1" x14ac:dyDescent="0.25">
      <c r="A54" s="99" t="s">
        <v>127</v>
      </c>
      <c r="B54" s="100">
        <f>SUM(B53,B49,B39,B25,B20)</f>
        <v>0.77104797391221536</v>
      </c>
      <c r="C54" s="101" t="s">
        <v>128</v>
      </c>
      <c r="D54" s="102">
        <f>SUM(D20,D25,D39,D49,D53)</f>
        <v>5553.06</v>
      </c>
      <c r="E54" s="103" t="s">
        <v>31</v>
      </c>
    </row>
    <row r="55" spans="1:5" ht="13.5" thickBot="1" x14ac:dyDescent="0.25">
      <c r="A55" s="47"/>
      <c r="B55" s="47"/>
      <c r="C55" s="47"/>
      <c r="D55" s="104"/>
      <c r="E55" s="47"/>
    </row>
    <row r="56" spans="1:5" ht="16.5" customHeight="1" thickBot="1" x14ac:dyDescent="0.25">
      <c r="A56" s="165" t="s">
        <v>129</v>
      </c>
      <c r="B56" s="166"/>
      <c r="C56" s="166"/>
      <c r="D56" s="166"/>
      <c r="E56" s="167"/>
    </row>
    <row r="57" spans="1:5" ht="16.5" customHeight="1" x14ac:dyDescent="0.2">
      <c r="A57" s="49" t="s">
        <v>130</v>
      </c>
      <c r="B57" s="105" t="s">
        <v>30</v>
      </c>
      <c r="C57" s="42" t="s">
        <v>35</v>
      </c>
      <c r="D57" s="50" t="s">
        <v>30</v>
      </c>
      <c r="E57" s="51" t="s">
        <v>36</v>
      </c>
    </row>
    <row r="58" spans="1:5" ht="32.25" customHeight="1" x14ac:dyDescent="0.2">
      <c r="A58" s="107" t="s">
        <v>132</v>
      </c>
      <c r="B58" s="106">
        <f>'DETALHAMENTO VALORES SUBJETIVOS'!B12</f>
        <v>0</v>
      </c>
      <c r="C58" s="136" t="s">
        <v>131</v>
      </c>
      <c r="D58" s="70">
        <f>TRUNC(B58,2)</f>
        <v>0</v>
      </c>
      <c r="E58" s="61" t="s">
        <v>133</v>
      </c>
    </row>
    <row r="59" spans="1:5" ht="16.5" customHeight="1" thickBot="1" x14ac:dyDescent="0.25">
      <c r="A59" s="62" t="s">
        <v>134</v>
      </c>
      <c r="B59" s="108"/>
      <c r="C59" s="63" t="s">
        <v>39</v>
      </c>
      <c r="D59" s="77">
        <f>SUM(D58:D58)</f>
        <v>0</v>
      </c>
      <c r="E59" s="66" t="s">
        <v>31</v>
      </c>
    </row>
    <row r="60" spans="1:5" ht="17.25" customHeight="1" x14ac:dyDescent="0.2">
      <c r="A60" s="49" t="s">
        <v>135</v>
      </c>
      <c r="B60" s="109" t="s">
        <v>30</v>
      </c>
      <c r="C60" s="42" t="s">
        <v>35</v>
      </c>
      <c r="D60" s="50" t="s">
        <v>30</v>
      </c>
      <c r="E60" s="51" t="s">
        <v>36</v>
      </c>
    </row>
    <row r="61" spans="1:5" ht="76.5" x14ac:dyDescent="0.2">
      <c r="A61" s="52" t="s">
        <v>173</v>
      </c>
      <c r="B61" s="106">
        <v>36.57</v>
      </c>
      <c r="C61" s="54" t="str">
        <f>B61 &amp; " * 22"</f>
        <v>36,57 * 22</v>
      </c>
      <c r="D61" s="55">
        <f>TRUNC(B61*22,2)</f>
        <v>804.54</v>
      </c>
      <c r="E61" s="59" t="s">
        <v>169</v>
      </c>
    </row>
    <row r="62" spans="1:5" ht="30.75" customHeight="1" x14ac:dyDescent="0.2">
      <c r="A62" s="52" t="s">
        <v>136</v>
      </c>
      <c r="B62" s="106">
        <v>5.75</v>
      </c>
      <c r="C62" s="54" t="str">
        <f>B62&amp; " * 4 * 22"</f>
        <v>5,75 * 4 * 22</v>
      </c>
      <c r="D62" s="55">
        <f>TRUNC(B62*22*4,2)</f>
        <v>506</v>
      </c>
      <c r="E62" s="59" t="s">
        <v>166</v>
      </c>
    </row>
    <row r="63" spans="1:5" ht="17.25" customHeight="1" x14ac:dyDescent="0.2">
      <c r="A63" s="52" t="s">
        <v>137</v>
      </c>
      <c r="B63" s="106">
        <f>D63</f>
        <v>-432.12</v>
      </c>
      <c r="C63" s="54" t="s">
        <v>138</v>
      </c>
      <c r="D63" s="55">
        <f>IF(D62&gt;=TRUNC(0.06*D7,2),TRUNC(-0.06*D7,2),-D62)</f>
        <v>-432.12</v>
      </c>
      <c r="E63" s="79" t="s">
        <v>139</v>
      </c>
    </row>
    <row r="64" spans="1:5" ht="17.25" customHeight="1" x14ac:dyDescent="0.2">
      <c r="A64" s="52" t="s">
        <v>167</v>
      </c>
      <c r="B64" s="106">
        <v>393.02</v>
      </c>
      <c r="C64" s="54" t="str">
        <f>B64 &amp; " * 3"</f>
        <v>393,02 * 3</v>
      </c>
      <c r="D64" s="55">
        <f>ROUND(B64*3,2)</f>
        <v>1179.06</v>
      </c>
      <c r="E64" s="175" t="s">
        <v>165</v>
      </c>
    </row>
    <row r="65" spans="1:5" ht="17.25" customHeight="1" x14ac:dyDescent="0.2">
      <c r="A65" s="46" t="s">
        <v>168</v>
      </c>
      <c r="B65" s="110">
        <v>25</v>
      </c>
      <c r="C65" s="53" t="str">
        <f>B65&amp;" * 3/12"</f>
        <v>25 * 3/12</v>
      </c>
      <c r="D65" s="55">
        <f>ROUND(B65*3/12,2)</f>
        <v>6.25</v>
      </c>
      <c r="E65" s="176"/>
    </row>
    <row r="66" spans="1:5" ht="31.5" customHeight="1" x14ac:dyDescent="0.2">
      <c r="A66" s="57" t="s">
        <v>161</v>
      </c>
      <c r="B66" s="106">
        <f>'DETALHAMENTO VALORES SUBJETIVOS'!B22</f>
        <v>0</v>
      </c>
      <c r="C66" s="53" t="s">
        <v>140</v>
      </c>
      <c r="D66" s="89">
        <f>B66</f>
        <v>0</v>
      </c>
      <c r="E66" s="61" t="s">
        <v>141</v>
      </c>
    </row>
    <row r="67" spans="1:5" ht="17.25" customHeight="1" thickBot="1" x14ac:dyDescent="0.25">
      <c r="A67" s="62" t="s">
        <v>142</v>
      </c>
      <c r="B67" s="111"/>
      <c r="C67" s="63" t="s">
        <v>39</v>
      </c>
      <c r="D67" s="77">
        <f>SUM(D61:D66)</f>
        <v>2063.73</v>
      </c>
      <c r="E67" s="66" t="s">
        <v>31</v>
      </c>
    </row>
    <row r="68" spans="1:5" ht="33" customHeight="1" thickBot="1" x14ac:dyDescent="0.25">
      <c r="A68" s="181" t="s">
        <v>171</v>
      </c>
      <c r="B68" s="182"/>
      <c r="C68" s="182"/>
      <c r="D68" s="182"/>
      <c r="E68" s="182"/>
    </row>
    <row r="69" spans="1:5" ht="17.25" customHeight="1" thickBot="1" x14ac:dyDescent="0.25">
      <c r="A69" s="112" t="s">
        <v>143</v>
      </c>
      <c r="B69" s="113"/>
      <c r="C69" s="101" t="s">
        <v>144</v>
      </c>
      <c r="D69" s="102">
        <f>SUM(D59,D67)</f>
        <v>2063.73</v>
      </c>
      <c r="E69" s="103" t="s">
        <v>31</v>
      </c>
    </row>
    <row r="70" spans="1:5" ht="26.25" customHeight="1" thickBot="1" x14ac:dyDescent="0.25">
      <c r="A70" s="118" t="s">
        <v>145</v>
      </c>
      <c r="B70" s="119" t="s">
        <v>31</v>
      </c>
      <c r="C70" s="119" t="s">
        <v>146</v>
      </c>
      <c r="D70" s="120">
        <f>SUM(D8,D54,D69)</f>
        <v>14818.9</v>
      </c>
      <c r="E70" s="103" t="s">
        <v>31</v>
      </c>
    </row>
    <row r="71" spans="1:5" ht="13.5" thickBot="1" x14ac:dyDescent="0.25">
      <c r="A71" s="121"/>
      <c r="B71" s="122"/>
      <c r="C71" s="122"/>
      <c r="D71" s="123"/>
      <c r="E71" s="124"/>
    </row>
    <row r="72" spans="1:5" ht="17.25" customHeight="1" x14ac:dyDescent="0.2">
      <c r="A72" s="49" t="s">
        <v>147</v>
      </c>
      <c r="B72" s="42" t="s">
        <v>42</v>
      </c>
      <c r="C72" s="42" t="s">
        <v>35</v>
      </c>
      <c r="D72" s="50" t="s">
        <v>30</v>
      </c>
      <c r="E72" s="51" t="s">
        <v>36</v>
      </c>
    </row>
    <row r="73" spans="1:5" ht="17.25" customHeight="1" x14ac:dyDescent="0.2">
      <c r="A73" s="52" t="s">
        <v>20</v>
      </c>
      <c r="B73" s="74">
        <f>'Quadro Resumo'!C13</f>
        <v>0</v>
      </c>
      <c r="C73" s="177" t="s">
        <v>148</v>
      </c>
      <c r="D73" s="125">
        <f>TRUNC(B73*D70,2)</f>
        <v>0</v>
      </c>
      <c r="E73" s="56" t="s">
        <v>31</v>
      </c>
    </row>
    <row r="74" spans="1:5" ht="30.75" customHeight="1" x14ac:dyDescent="0.2">
      <c r="A74" s="52" t="s">
        <v>21</v>
      </c>
      <c r="B74" s="74">
        <f>'Quadro Resumo'!C14</f>
        <v>0</v>
      </c>
      <c r="C74" s="178"/>
      <c r="D74" s="125">
        <f>TRUNC(B74*D70,2)</f>
        <v>0</v>
      </c>
      <c r="E74" s="59" t="s">
        <v>149</v>
      </c>
    </row>
    <row r="75" spans="1:5" ht="16.5" customHeight="1" thickBot="1" x14ac:dyDescent="0.25">
      <c r="A75" s="62" t="s">
        <v>150</v>
      </c>
      <c r="B75" s="76">
        <f>SUM(B73:B74)</f>
        <v>0</v>
      </c>
      <c r="C75" s="63" t="s">
        <v>39</v>
      </c>
      <c r="D75" s="65">
        <f>SUM(D73:D74)</f>
        <v>0</v>
      </c>
      <c r="E75" s="66" t="s">
        <v>31</v>
      </c>
    </row>
    <row r="76" spans="1:5" ht="24" customHeight="1" thickBot="1" x14ac:dyDescent="0.25">
      <c r="A76" s="126"/>
      <c r="B76" s="47"/>
      <c r="C76" s="47"/>
      <c r="D76" s="48"/>
      <c r="E76" s="47"/>
    </row>
    <row r="77" spans="1:5" ht="16.5" customHeight="1" x14ac:dyDescent="0.2">
      <c r="A77" s="127" t="s">
        <v>151</v>
      </c>
      <c r="B77" s="42" t="s">
        <v>42</v>
      </c>
      <c r="C77" s="42" t="s">
        <v>35</v>
      </c>
      <c r="D77" s="50" t="s">
        <v>30</v>
      </c>
      <c r="E77" s="51" t="s">
        <v>36</v>
      </c>
    </row>
    <row r="78" spans="1:5" ht="16.5" customHeight="1" x14ac:dyDescent="0.2">
      <c r="A78" s="52" t="s">
        <v>25</v>
      </c>
      <c r="B78" s="74">
        <f>'Quadro Resumo'!C20</f>
        <v>0</v>
      </c>
      <c r="C78" s="179" t="s">
        <v>152</v>
      </c>
      <c r="D78" s="55">
        <f>TRUNC((($D$70+$D$75)/(1-(($B$78+$B$79+$B$80))))*(B78),2)</f>
        <v>0</v>
      </c>
      <c r="E78" s="79" t="s">
        <v>153</v>
      </c>
    </row>
    <row r="79" spans="1:5" ht="16.5" customHeight="1" x14ac:dyDescent="0.2">
      <c r="A79" s="52" t="s">
        <v>26</v>
      </c>
      <c r="B79" s="74">
        <f>'Quadro Resumo'!C21</f>
        <v>0</v>
      </c>
      <c r="C79" s="180"/>
      <c r="D79" s="55">
        <f>TRUNC((($D$70+$D$75)/(1-(($B$78+$B$79+$B$80))))*(B79),2)</f>
        <v>0</v>
      </c>
      <c r="E79" s="59" t="s">
        <v>154</v>
      </c>
    </row>
    <row r="80" spans="1:5" ht="16.5" customHeight="1" x14ac:dyDescent="0.2">
      <c r="A80" s="52" t="s">
        <v>27</v>
      </c>
      <c r="B80" s="74">
        <f>'Quadro Resumo'!C22</f>
        <v>0</v>
      </c>
      <c r="C80" s="180"/>
      <c r="D80" s="55">
        <f>TRUNC((($D$70+$D$75)/(1-(($B$78+$B$79+$B$80))))*(B80),2)</f>
        <v>0</v>
      </c>
      <c r="E80" s="79" t="s">
        <v>155</v>
      </c>
    </row>
    <row r="81" spans="1:5" ht="16.5" customHeight="1" thickBot="1" x14ac:dyDescent="0.25">
      <c r="A81" s="62" t="s">
        <v>156</v>
      </c>
      <c r="B81" s="76">
        <f>SUM(B78:B80)</f>
        <v>0</v>
      </c>
      <c r="C81" s="63" t="s">
        <v>39</v>
      </c>
      <c r="D81" s="77">
        <f>SUM(D78:D80)</f>
        <v>0</v>
      </c>
      <c r="E81" s="66" t="s">
        <v>31</v>
      </c>
    </row>
    <row r="82" spans="1:5" ht="13.5" thickBot="1" x14ac:dyDescent="0.25">
      <c r="A82" s="46"/>
      <c r="B82" s="47"/>
      <c r="C82" s="47"/>
      <c r="D82" s="48"/>
      <c r="E82" s="47"/>
    </row>
    <row r="83" spans="1:5" ht="16.5" customHeight="1" thickBot="1" x14ac:dyDescent="0.25">
      <c r="A83" s="128" t="s">
        <v>157</v>
      </c>
      <c r="B83" s="129" t="s">
        <v>31</v>
      </c>
      <c r="C83" s="42" t="s">
        <v>35</v>
      </c>
      <c r="D83" s="130" t="s">
        <v>158</v>
      </c>
      <c r="E83" s="51" t="s">
        <v>159</v>
      </c>
    </row>
    <row r="84" spans="1:5" ht="16.5" customHeight="1" thickBot="1" x14ac:dyDescent="0.25">
      <c r="A84" s="131"/>
      <c r="B84" s="132" t="s">
        <v>31</v>
      </c>
      <c r="C84" s="132" t="s">
        <v>160</v>
      </c>
      <c r="D84" s="133">
        <f>SUM(D70,D75,D81)</f>
        <v>14818.9</v>
      </c>
      <c r="E84" s="134">
        <f>D84*12</f>
        <v>177826.8</v>
      </c>
    </row>
  </sheetData>
  <sheetProtection algorithmName="SHA-512" hashValue="jeLvKJZ+FQeKjCYAJR/HqGbDZ1uJpw0wE31rOlAnhGUSpPtVQK4wapj3Ve1nEh1WMZhWG8Zz7uiVlBaXDCZKxg==" saltValue="gIap3i/V8SCe/+qpwBmjPQ==" spinCount="100000" sheet="1" objects="1" scenarios="1"/>
  <mergeCells count="11">
    <mergeCell ref="A56:E56"/>
    <mergeCell ref="E64:E65"/>
    <mergeCell ref="C73:C74"/>
    <mergeCell ref="C78:C80"/>
    <mergeCell ref="A68:E68"/>
    <mergeCell ref="B51:E51"/>
    <mergeCell ref="A1:E1"/>
    <mergeCell ref="A10:E10"/>
    <mergeCell ref="D40:E40"/>
    <mergeCell ref="B41:E41"/>
    <mergeCell ref="B50:E50"/>
  </mergeCells>
  <conditionalFormatting sqref="B66">
    <cfRule type="expression" dxfId="1" priority="1">
      <formula>ISBLANK($B$66)</formula>
    </cfRule>
  </conditionalFormatting>
  <pageMargins left="0.51181102362204722" right="0.51181102362204722" top="0.78740157480314965" bottom="0.78740157480314965" header="0.31496062992125984" footer="0.31496062992125984"/>
  <pageSetup paperSize="9" scale="42" orientation="portrait" r:id="rId1"/>
  <headerFooter>
    <oddFooter>&amp;C_x000D_&amp;1#&amp;"Calibri"&amp;10&amp;K000000 INFORMAÇÃO CONTROLADA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B311-C4A0-4500-BB28-72BF58AFC0F4}">
  <sheetPr>
    <pageSetUpPr fitToPage="1"/>
  </sheetPr>
  <dimension ref="A1:E86"/>
  <sheetViews>
    <sheetView zoomScale="90" zoomScaleNormal="90" workbookViewId="0">
      <selection activeCell="B68" sqref="B68"/>
    </sheetView>
  </sheetViews>
  <sheetFormatPr defaultColWidth="9.140625" defaultRowHeight="12.75" x14ac:dyDescent="0.2"/>
  <cols>
    <col min="1" max="1" width="68.5703125" style="36" customWidth="1"/>
    <col min="2" max="2" width="15.140625" style="36" customWidth="1"/>
    <col min="3" max="3" width="64" style="36" customWidth="1"/>
    <col min="4" max="4" width="13.5703125" style="135" customWidth="1"/>
    <col min="5" max="5" width="57.85546875" style="36" customWidth="1"/>
    <col min="6" max="16384" width="9.140625" style="36"/>
  </cols>
  <sheetData>
    <row r="1" spans="1:5" ht="20.25" thickBot="1" x14ac:dyDescent="0.25">
      <c r="A1" s="162" t="str">
        <f>"PLANILHA DE COMPOSIÇÃO DE CUSTOS E FORMAÇÃO DE PREÇOS - " &amp;'Quadro Resumo'!B9</f>
        <v>PLANILHA DE COMPOSIÇÃO DE CUSTOS E FORMAÇÃO DE PREÇOS - ENCARREGADO ADMINISTRATIVO</v>
      </c>
      <c r="B1" s="163"/>
      <c r="C1" s="163"/>
      <c r="D1" s="163"/>
      <c r="E1" s="164"/>
    </row>
    <row r="2" spans="1:5" ht="20.25" thickBot="1" x14ac:dyDescent="0.25">
      <c r="A2" s="37"/>
      <c r="B2" s="38"/>
      <c r="C2" s="38"/>
      <c r="D2" s="39"/>
      <c r="E2" s="40"/>
    </row>
    <row r="3" spans="1:5" ht="17.25" customHeight="1" x14ac:dyDescent="0.2">
      <c r="A3" s="41" t="s">
        <v>29</v>
      </c>
      <c r="B3" s="42"/>
      <c r="C3" s="42"/>
      <c r="D3" s="42" t="s">
        <v>30</v>
      </c>
      <c r="E3" s="42" t="s">
        <v>31</v>
      </c>
    </row>
    <row r="4" spans="1:5" ht="17.25" customHeight="1" thickBot="1" x14ac:dyDescent="0.25">
      <c r="A4" s="43" t="str">
        <f>'Quadro Resumo'!B9</f>
        <v>ENCARREGADO ADMINISTRATIVO</v>
      </c>
      <c r="B4" s="44"/>
      <c r="C4" s="44" t="s">
        <v>32</v>
      </c>
      <c r="D4" s="151">
        <f>'Quadro Resumo'!C9</f>
        <v>9630</v>
      </c>
      <c r="E4" s="45" t="s">
        <v>31</v>
      </c>
    </row>
    <row r="5" spans="1:5" ht="13.5" thickBot="1" x14ac:dyDescent="0.25">
      <c r="A5" s="46"/>
      <c r="B5" s="47"/>
      <c r="C5" s="47"/>
      <c r="D5" s="48"/>
      <c r="E5" s="47"/>
    </row>
    <row r="6" spans="1:5" ht="17.25" customHeight="1" x14ac:dyDescent="0.2">
      <c r="A6" s="49" t="s">
        <v>33</v>
      </c>
      <c r="B6" s="42" t="s">
        <v>34</v>
      </c>
      <c r="C6" s="42" t="s">
        <v>35</v>
      </c>
      <c r="D6" s="50" t="s">
        <v>30</v>
      </c>
      <c r="E6" s="51" t="s">
        <v>36</v>
      </c>
    </row>
    <row r="7" spans="1:5" ht="17.25" customHeight="1" x14ac:dyDescent="0.2">
      <c r="A7" s="52" t="s">
        <v>37</v>
      </c>
      <c r="B7" s="53" t="s">
        <v>31</v>
      </c>
      <c r="C7" s="54" t="s">
        <v>31</v>
      </c>
      <c r="D7" s="55">
        <f>TRUNC(D4,2)</f>
        <v>9630</v>
      </c>
      <c r="E7" s="56"/>
    </row>
    <row r="8" spans="1:5" ht="16.5" customHeight="1" thickBot="1" x14ac:dyDescent="0.25">
      <c r="A8" s="62" t="s">
        <v>38</v>
      </c>
      <c r="B8" s="63" t="s">
        <v>31</v>
      </c>
      <c r="C8" s="64" t="s">
        <v>39</v>
      </c>
      <c r="D8" s="65">
        <f>SUM(D7:D7)</f>
        <v>9630</v>
      </c>
      <c r="E8" s="66" t="s">
        <v>31</v>
      </c>
    </row>
    <row r="9" spans="1:5" ht="13.5" customHeight="1" thickBot="1" x14ac:dyDescent="0.25">
      <c r="A9" s="67"/>
      <c r="B9" s="68"/>
      <c r="C9" s="69"/>
      <c r="D9" s="48"/>
      <c r="E9" s="47"/>
    </row>
    <row r="10" spans="1:5" ht="16.5" customHeight="1" thickBot="1" x14ac:dyDescent="0.25">
      <c r="A10" s="165" t="s">
        <v>40</v>
      </c>
      <c r="B10" s="166"/>
      <c r="C10" s="166"/>
      <c r="D10" s="166"/>
      <c r="E10" s="167"/>
    </row>
    <row r="11" spans="1:5" ht="16.5" customHeight="1" x14ac:dyDescent="0.2">
      <c r="A11" s="49" t="s">
        <v>41</v>
      </c>
      <c r="B11" s="42" t="s">
        <v>42</v>
      </c>
      <c r="C11" s="42" t="s">
        <v>35</v>
      </c>
      <c r="D11" s="50" t="s">
        <v>30</v>
      </c>
      <c r="E11" s="51" t="s">
        <v>36</v>
      </c>
    </row>
    <row r="12" spans="1:5" ht="16.5" customHeight="1" x14ac:dyDescent="0.2">
      <c r="A12" s="52" t="s">
        <v>43</v>
      </c>
      <c r="B12" s="74">
        <v>0.2</v>
      </c>
      <c r="C12" s="54" t="s">
        <v>44</v>
      </c>
      <c r="D12" s="55">
        <f>TRUNC(B12*$D$8,2)</f>
        <v>1926</v>
      </c>
      <c r="E12" s="71" t="s">
        <v>45</v>
      </c>
    </row>
    <row r="13" spans="1:5" ht="16.5" customHeight="1" x14ac:dyDescent="0.2">
      <c r="A13" s="52" t="s">
        <v>46</v>
      </c>
      <c r="B13" s="74">
        <v>0.08</v>
      </c>
      <c r="C13" s="54" t="s">
        <v>47</v>
      </c>
      <c r="D13" s="55">
        <f t="shared" ref="D13:D19" si="0">TRUNC(B13*$D$8,2)</f>
        <v>770.4</v>
      </c>
      <c r="E13" s="72" t="s">
        <v>48</v>
      </c>
    </row>
    <row r="14" spans="1:5" ht="17.25" customHeight="1" x14ac:dyDescent="0.2">
      <c r="A14" s="52" t="s">
        <v>49</v>
      </c>
      <c r="B14" s="74">
        <v>1.4999999999999999E-2</v>
      </c>
      <c r="C14" s="54" t="s">
        <v>50</v>
      </c>
      <c r="D14" s="55">
        <f t="shared" si="0"/>
        <v>144.44999999999999</v>
      </c>
      <c r="E14" s="72" t="s">
        <v>51</v>
      </c>
    </row>
    <row r="15" spans="1:5" ht="17.25" customHeight="1" x14ac:dyDescent="0.2">
      <c r="A15" s="52" t="s">
        <v>52</v>
      </c>
      <c r="B15" s="74">
        <v>0.01</v>
      </c>
      <c r="C15" s="54" t="s">
        <v>53</v>
      </c>
      <c r="D15" s="55">
        <f t="shared" si="0"/>
        <v>96.3</v>
      </c>
      <c r="E15" s="72" t="s">
        <v>54</v>
      </c>
    </row>
    <row r="16" spans="1:5" ht="17.25" customHeight="1" x14ac:dyDescent="0.2">
      <c r="A16" s="52" t="s">
        <v>55</v>
      </c>
      <c r="B16" s="74">
        <v>2E-3</v>
      </c>
      <c r="C16" s="54" t="s">
        <v>56</v>
      </c>
      <c r="D16" s="55">
        <f t="shared" si="0"/>
        <v>19.260000000000002</v>
      </c>
      <c r="E16" s="72" t="s">
        <v>57</v>
      </c>
    </row>
    <row r="17" spans="1:5" ht="17.25" customHeight="1" x14ac:dyDescent="0.2">
      <c r="A17" s="52" t="s">
        <v>58</v>
      </c>
      <c r="B17" s="74">
        <v>6.0000000000000001E-3</v>
      </c>
      <c r="C17" s="54" t="s">
        <v>59</v>
      </c>
      <c r="D17" s="55">
        <f t="shared" si="0"/>
        <v>57.78</v>
      </c>
      <c r="E17" s="72" t="s">
        <v>60</v>
      </c>
    </row>
    <row r="18" spans="1:5" ht="17.25" customHeight="1" x14ac:dyDescent="0.2">
      <c r="A18" s="52" t="s">
        <v>61</v>
      </c>
      <c r="B18" s="74">
        <v>2.5000000000000001E-2</v>
      </c>
      <c r="C18" s="54" t="s">
        <v>62</v>
      </c>
      <c r="D18" s="55">
        <f t="shared" si="0"/>
        <v>240.75</v>
      </c>
      <c r="E18" s="72" t="s">
        <v>63</v>
      </c>
    </row>
    <row r="19" spans="1:5" ht="17.25" customHeight="1" x14ac:dyDescent="0.2">
      <c r="A19" s="73" t="s">
        <v>64</v>
      </c>
      <c r="B19" s="74">
        <f>'Quadro Resumo'!C17</f>
        <v>0</v>
      </c>
      <c r="C19" s="54" t="s">
        <v>65</v>
      </c>
      <c r="D19" s="55">
        <f t="shared" si="0"/>
        <v>0</v>
      </c>
      <c r="E19" s="75" t="s">
        <v>66</v>
      </c>
    </row>
    <row r="20" spans="1:5" ht="17.25" customHeight="1" thickBot="1" x14ac:dyDescent="0.25">
      <c r="A20" s="62" t="s">
        <v>67</v>
      </c>
      <c r="B20" s="76">
        <f>SUM(B12:B19)</f>
        <v>0.33800000000000008</v>
      </c>
      <c r="C20" s="63" t="s">
        <v>39</v>
      </c>
      <c r="D20" s="77">
        <f>SUM(D12:D19)</f>
        <v>3254.9400000000005</v>
      </c>
      <c r="E20" s="66" t="s">
        <v>31</v>
      </c>
    </row>
    <row r="21" spans="1:5" ht="13.5" thickBot="1" x14ac:dyDescent="0.25">
      <c r="A21" s="46"/>
      <c r="B21" s="47"/>
      <c r="C21" s="47"/>
      <c r="D21" s="48"/>
      <c r="E21" s="78"/>
    </row>
    <row r="22" spans="1:5" ht="15.75" customHeight="1" x14ac:dyDescent="0.2">
      <c r="A22" s="49" t="s">
        <v>68</v>
      </c>
      <c r="B22" s="42" t="s">
        <v>42</v>
      </c>
      <c r="C22" s="42" t="s">
        <v>35</v>
      </c>
      <c r="D22" s="50" t="s">
        <v>30</v>
      </c>
      <c r="E22" s="51" t="s">
        <v>36</v>
      </c>
    </row>
    <row r="23" spans="1:5" ht="15.75" customHeight="1" x14ac:dyDescent="0.2">
      <c r="A23" s="52" t="s">
        <v>69</v>
      </c>
      <c r="B23" s="74">
        <f>(1/12)</f>
        <v>8.3333333333333329E-2</v>
      </c>
      <c r="C23" s="54" t="s">
        <v>70</v>
      </c>
      <c r="D23" s="55">
        <f>TRUNC(B23*$D$8,2)</f>
        <v>802.5</v>
      </c>
      <c r="E23" s="72" t="s">
        <v>71</v>
      </c>
    </row>
    <row r="24" spans="1:5" ht="15.75" customHeight="1" x14ac:dyDescent="0.2">
      <c r="A24" s="57" t="s">
        <v>72</v>
      </c>
      <c r="B24" s="149">
        <f>B20*B23</f>
        <v>2.8166666666666673E-2</v>
      </c>
      <c r="C24" s="53" t="s">
        <v>73</v>
      </c>
      <c r="D24" s="55">
        <f>TRUNC(B24*$D$8,2)</f>
        <v>271.24</v>
      </c>
      <c r="E24" s="79" t="s">
        <v>74</v>
      </c>
    </row>
    <row r="25" spans="1:5" ht="16.5" customHeight="1" thickBot="1" x14ac:dyDescent="0.25">
      <c r="A25" s="62" t="s">
        <v>75</v>
      </c>
      <c r="B25" s="76">
        <f>SUM(B23:B24)</f>
        <v>0.1115</v>
      </c>
      <c r="C25" s="63" t="s">
        <v>39</v>
      </c>
      <c r="D25" s="77">
        <f>SUM(D23:D24)</f>
        <v>1073.74</v>
      </c>
      <c r="E25" s="66" t="s">
        <v>31</v>
      </c>
    </row>
    <row r="26" spans="1:5" ht="13.5" thickBot="1" x14ac:dyDescent="0.25">
      <c r="A26" s="80"/>
      <c r="B26" s="81"/>
      <c r="C26" s="81"/>
      <c r="D26" s="82"/>
      <c r="E26" s="83"/>
    </row>
    <row r="27" spans="1:5" ht="17.25" customHeight="1" x14ac:dyDescent="0.2">
      <c r="A27" s="49" t="s">
        <v>76</v>
      </c>
      <c r="B27" s="42" t="s">
        <v>42</v>
      </c>
      <c r="C27" s="42" t="s">
        <v>35</v>
      </c>
      <c r="D27" s="50" t="s">
        <v>30</v>
      </c>
      <c r="E27" s="51" t="s">
        <v>36</v>
      </c>
    </row>
    <row r="28" spans="1:5" ht="16.5" customHeight="1" x14ac:dyDescent="0.2">
      <c r="A28" s="52" t="s">
        <v>77</v>
      </c>
      <c r="B28" s="74">
        <f>1/12</f>
        <v>8.3333333333333329E-2</v>
      </c>
      <c r="C28" s="54" t="s">
        <v>70</v>
      </c>
      <c r="D28" s="55">
        <f t="shared" ref="D28:D35" si="1">TRUNC(B28*$D$8,2)</f>
        <v>802.5</v>
      </c>
      <c r="E28" s="72" t="s">
        <v>78</v>
      </c>
    </row>
    <row r="29" spans="1:5" ht="16.5" customHeight="1" x14ac:dyDescent="0.2">
      <c r="A29" s="52" t="s">
        <v>79</v>
      </c>
      <c r="B29" s="150">
        <f>(1/3)/12</f>
        <v>2.7777777777777776E-2</v>
      </c>
      <c r="C29" s="54" t="s">
        <v>80</v>
      </c>
      <c r="D29" s="55">
        <f t="shared" si="1"/>
        <v>267.5</v>
      </c>
      <c r="E29" s="72" t="s">
        <v>78</v>
      </c>
    </row>
    <row r="30" spans="1:5" ht="16.5" customHeight="1" x14ac:dyDescent="0.2">
      <c r="A30" s="52" t="s">
        <v>81</v>
      </c>
      <c r="B30" s="74">
        <f>D30/D8</f>
        <v>1.7219106957424714E-2</v>
      </c>
      <c r="C30" s="54" t="s">
        <v>82</v>
      </c>
      <c r="D30" s="55">
        <f>TRUNC((D70-(D63+D64))/12,2)</f>
        <v>165.82</v>
      </c>
      <c r="E30" s="72" t="s">
        <v>83</v>
      </c>
    </row>
    <row r="31" spans="1:5" ht="16.5" customHeight="1" x14ac:dyDescent="0.2">
      <c r="A31" s="52" t="s">
        <v>84</v>
      </c>
      <c r="B31" s="74">
        <f>(5.96/30)/12</f>
        <v>1.6555555555555556E-2</v>
      </c>
      <c r="C31" s="54" t="s">
        <v>85</v>
      </c>
      <c r="D31" s="55">
        <f t="shared" si="1"/>
        <v>159.43</v>
      </c>
      <c r="E31" s="72" t="s">
        <v>86</v>
      </c>
    </row>
    <row r="32" spans="1:5" ht="16.5" customHeight="1" x14ac:dyDescent="0.2">
      <c r="A32" s="52" t="s">
        <v>87</v>
      </c>
      <c r="B32" s="74">
        <f>(((15/30)/12)*0.00743)</f>
        <v>3.0958333333333331E-4</v>
      </c>
      <c r="C32" s="84" t="s">
        <v>163</v>
      </c>
      <c r="D32" s="55">
        <f t="shared" si="1"/>
        <v>2.98</v>
      </c>
      <c r="E32" s="72" t="s">
        <v>88</v>
      </c>
    </row>
    <row r="33" spans="1:5" ht="16.5" customHeight="1" x14ac:dyDescent="0.2">
      <c r="A33" s="52" t="s">
        <v>89</v>
      </c>
      <c r="B33" s="74">
        <f>(2.96/30)/12</f>
        <v>8.2222222222222228E-3</v>
      </c>
      <c r="C33" s="34" t="s">
        <v>90</v>
      </c>
      <c r="D33" s="55">
        <f t="shared" si="1"/>
        <v>79.180000000000007</v>
      </c>
      <c r="E33" s="72" t="s">
        <v>91</v>
      </c>
    </row>
    <row r="34" spans="1:5" ht="16.5" customHeight="1" x14ac:dyDescent="0.2">
      <c r="A34" s="52" t="s">
        <v>92</v>
      </c>
      <c r="B34" s="74">
        <f>(5/30)/12*0.01057*0.59</f>
        <v>8.6615277777777759E-5</v>
      </c>
      <c r="C34" s="58" t="s">
        <v>182</v>
      </c>
      <c r="D34" s="55">
        <f t="shared" si="1"/>
        <v>0.83</v>
      </c>
      <c r="E34" s="72" t="s">
        <v>93</v>
      </c>
    </row>
    <row r="35" spans="1:5" ht="16.5" customHeight="1" x14ac:dyDescent="0.2">
      <c r="A35" s="52" t="s">
        <v>94</v>
      </c>
      <c r="B35" s="85">
        <f>(7/30)/12</f>
        <v>1.9444444444444445E-2</v>
      </c>
      <c r="C35" s="86" t="s">
        <v>95</v>
      </c>
      <c r="D35" s="55">
        <f t="shared" si="1"/>
        <v>187.25</v>
      </c>
      <c r="E35" s="79" t="s">
        <v>96</v>
      </c>
    </row>
    <row r="36" spans="1:5" ht="24" x14ac:dyDescent="0.2">
      <c r="A36" s="52" t="s">
        <v>97</v>
      </c>
      <c r="B36" s="85">
        <f>D36/D8</f>
        <v>4.5898234683281413E-4</v>
      </c>
      <c r="C36" s="86" t="s">
        <v>183</v>
      </c>
      <c r="D36" s="55">
        <f>TRUNC(((D8*(1+(1/3))/12)+D70-(D63+D64))*(4/12)*0.01057*0.41,2)</f>
        <v>4.42</v>
      </c>
      <c r="E36" s="72" t="s">
        <v>78</v>
      </c>
    </row>
    <row r="37" spans="1:5" ht="29.25" customHeight="1" x14ac:dyDescent="0.2">
      <c r="A37" s="73" t="s">
        <v>98</v>
      </c>
      <c r="B37" s="74">
        <f>B20*SUM(B28:B35)</f>
        <v>5.8456639948831775E-2</v>
      </c>
      <c r="C37" s="86" t="s">
        <v>99</v>
      </c>
      <c r="D37" s="55">
        <f>TRUNC(B37*$D$8,2)</f>
        <v>562.92999999999995</v>
      </c>
      <c r="E37" s="79" t="s">
        <v>74</v>
      </c>
    </row>
    <row r="38" spans="1:5" ht="27.75" customHeight="1" x14ac:dyDescent="0.2">
      <c r="A38" s="73" t="s">
        <v>100</v>
      </c>
      <c r="B38" s="85">
        <f>B20*B36</f>
        <v>1.5513603322949121E-4</v>
      </c>
      <c r="C38" s="58" t="s">
        <v>101</v>
      </c>
      <c r="D38" s="70">
        <f>TRUNC(B38*$D$8,2)</f>
        <v>1.49</v>
      </c>
      <c r="E38" s="72" t="s">
        <v>102</v>
      </c>
    </row>
    <row r="39" spans="1:5" ht="16.5" customHeight="1" thickBot="1" x14ac:dyDescent="0.25">
      <c r="A39" s="62" t="s">
        <v>103</v>
      </c>
      <c r="B39" s="76">
        <f>SUM(B28:B38)</f>
        <v>0.2320193972307632</v>
      </c>
      <c r="C39" s="63" t="s">
        <v>39</v>
      </c>
      <c r="D39" s="87">
        <f>SUM(D28:D38)</f>
        <v>2234.33</v>
      </c>
      <c r="E39" s="66" t="s">
        <v>31</v>
      </c>
    </row>
    <row r="40" spans="1:5" ht="27" customHeight="1" x14ac:dyDescent="0.2">
      <c r="A40" s="141" t="s">
        <v>104</v>
      </c>
      <c r="B40" s="142" t="s">
        <v>105</v>
      </c>
      <c r="D40" s="183" t="s">
        <v>187</v>
      </c>
      <c r="E40" s="169"/>
    </row>
    <row r="41" spans="1:5" ht="15" x14ac:dyDescent="0.25">
      <c r="A41" s="141" t="s">
        <v>106</v>
      </c>
      <c r="B41" s="159" t="s">
        <v>181</v>
      </c>
      <c r="C41" s="170"/>
      <c r="D41" s="171"/>
      <c r="E41" s="172"/>
    </row>
    <row r="42" spans="1:5" ht="16.5" customHeight="1" thickBot="1" x14ac:dyDescent="0.25">
      <c r="A42" s="94" t="s">
        <v>162</v>
      </c>
      <c r="B42" s="142" t="s">
        <v>107</v>
      </c>
      <c r="D42" s="143"/>
      <c r="E42" s="144"/>
    </row>
    <row r="43" spans="1:5" ht="16.5" customHeight="1" x14ac:dyDescent="0.2">
      <c r="A43" s="49" t="s">
        <v>108</v>
      </c>
      <c r="B43" s="42" t="s">
        <v>42</v>
      </c>
      <c r="C43" s="42" t="s">
        <v>35</v>
      </c>
      <c r="D43" s="50" t="s">
        <v>30</v>
      </c>
      <c r="E43" s="51" t="s">
        <v>36</v>
      </c>
    </row>
    <row r="44" spans="1:5" ht="16.5" customHeight="1" x14ac:dyDescent="0.2">
      <c r="A44" s="57" t="s">
        <v>109</v>
      </c>
      <c r="B44" s="88">
        <f>(1/12)*0.055*(1+B28+B29)</f>
        <v>5.0925925925925921E-3</v>
      </c>
      <c r="C44" s="60" t="s">
        <v>110</v>
      </c>
      <c r="D44" s="89">
        <f>TRUNC(B44*$D$8,2)</f>
        <v>49.04</v>
      </c>
      <c r="E44" s="90" t="s">
        <v>111</v>
      </c>
    </row>
    <row r="45" spans="1:5" ht="16.5" customHeight="1" x14ac:dyDescent="0.2">
      <c r="A45" s="57" t="s">
        <v>112</v>
      </c>
      <c r="B45" s="91">
        <f>(1/12)*0.055*(1+B28+B29)*0.08</f>
        <v>4.0740740740740738E-4</v>
      </c>
      <c r="C45" s="53" t="s">
        <v>113</v>
      </c>
      <c r="D45" s="89">
        <f>TRUNC(B45*$D$8,2)</f>
        <v>3.92</v>
      </c>
      <c r="E45" s="90" t="s">
        <v>114</v>
      </c>
    </row>
    <row r="46" spans="1:5" ht="16.5" customHeight="1" x14ac:dyDescent="0.2">
      <c r="A46" s="52" t="s">
        <v>115</v>
      </c>
      <c r="B46" s="92">
        <f>0.5*0.08</f>
        <v>0.04</v>
      </c>
      <c r="C46" s="58" t="s">
        <v>116</v>
      </c>
      <c r="D46" s="89">
        <f>TRUNC(B46*$D$8,2)</f>
        <v>385.2</v>
      </c>
      <c r="E46" s="90" t="s">
        <v>117</v>
      </c>
    </row>
    <row r="47" spans="1:5" ht="17.25" customHeight="1" x14ac:dyDescent="0.2">
      <c r="A47" s="52" t="s">
        <v>118</v>
      </c>
      <c r="B47" s="88">
        <f>(1/12)*0.01</f>
        <v>8.3333333333333328E-4</v>
      </c>
      <c r="C47" s="60" t="s">
        <v>119</v>
      </c>
      <c r="D47" s="89">
        <f>TRUNC(B47*$D$8,2)</f>
        <v>8.02</v>
      </c>
      <c r="E47" s="79" t="s">
        <v>120</v>
      </c>
    </row>
    <row r="48" spans="1:5" ht="17.25" customHeight="1" x14ac:dyDescent="0.2">
      <c r="A48" s="57" t="s">
        <v>175</v>
      </c>
      <c r="B48" s="85">
        <f>0.08*B32</f>
        <v>2.4766666666666664E-5</v>
      </c>
      <c r="C48" s="60" t="s">
        <v>176</v>
      </c>
      <c r="D48" s="89">
        <f>TRUNC(B48*$D$8,2)</f>
        <v>0.23</v>
      </c>
      <c r="E48" s="90" t="s">
        <v>174</v>
      </c>
    </row>
    <row r="49" spans="1:5" ht="17.25" customHeight="1" thickBot="1" x14ac:dyDescent="0.25">
      <c r="A49" s="62" t="s">
        <v>121</v>
      </c>
      <c r="B49" s="76">
        <f>SUM(B44:B48)</f>
        <v>4.6358099999999999E-2</v>
      </c>
      <c r="C49" s="63" t="s">
        <v>39</v>
      </c>
      <c r="D49" s="77">
        <f>SUM(D44:D48)</f>
        <v>446.40999999999997</v>
      </c>
      <c r="E49" s="66" t="s">
        <v>31</v>
      </c>
    </row>
    <row r="50" spans="1:5" ht="13.5" x14ac:dyDescent="0.2">
      <c r="A50" s="93" t="s">
        <v>122</v>
      </c>
      <c r="B50" s="173" t="s">
        <v>123</v>
      </c>
      <c r="C50" s="173"/>
      <c r="D50" s="173"/>
      <c r="E50" s="174"/>
    </row>
    <row r="51" spans="1:5" ht="13.5" x14ac:dyDescent="0.2">
      <c r="A51" s="94" t="s">
        <v>177</v>
      </c>
      <c r="B51" s="159"/>
      <c r="C51" s="160"/>
      <c r="D51" s="160"/>
      <c r="E51" s="161"/>
    </row>
    <row r="52" spans="1:5" ht="17.25" customHeight="1" x14ac:dyDescent="0.2">
      <c r="A52" s="95" t="s">
        <v>124</v>
      </c>
      <c r="B52" s="96" t="s">
        <v>42</v>
      </c>
      <c r="C52" s="96" t="s">
        <v>35</v>
      </c>
      <c r="D52" s="97" t="s">
        <v>30</v>
      </c>
      <c r="E52" s="96" t="s">
        <v>36</v>
      </c>
    </row>
    <row r="53" spans="1:5" ht="24.75" thickBot="1" x14ac:dyDescent="0.25">
      <c r="A53" s="148" t="s">
        <v>125</v>
      </c>
      <c r="B53" s="85">
        <f>SUM(B28,B31,B32,B33,B34,B35,B36)*(B23+B28+B29+B13)</f>
        <v>3.5241613243149297E-2</v>
      </c>
      <c r="C53" s="86" t="s">
        <v>126</v>
      </c>
      <c r="D53" s="55">
        <f>TRUNC(B53*$D$8,2)</f>
        <v>339.37</v>
      </c>
      <c r="E53" s="98"/>
    </row>
    <row r="54" spans="1:5" ht="16.5" customHeight="1" thickBot="1" x14ac:dyDescent="0.25">
      <c r="A54" s="99" t="s">
        <v>127</v>
      </c>
      <c r="B54" s="100">
        <f>SUM(B53,B49,B39,B25,B20)</f>
        <v>0.76311911047391257</v>
      </c>
      <c r="C54" s="101" t="s">
        <v>128</v>
      </c>
      <c r="D54" s="102">
        <f>SUM(D20,D25,D39,D49,D53)</f>
        <v>7348.79</v>
      </c>
      <c r="E54" s="103" t="s">
        <v>31</v>
      </c>
    </row>
    <row r="55" spans="1:5" ht="13.5" thickBot="1" x14ac:dyDescent="0.25">
      <c r="A55" s="47"/>
      <c r="B55" s="47"/>
      <c r="C55" s="47"/>
      <c r="D55" s="104"/>
      <c r="E55" s="47"/>
    </row>
    <row r="56" spans="1:5" ht="16.5" customHeight="1" thickBot="1" x14ac:dyDescent="0.25">
      <c r="A56" s="165" t="s">
        <v>129</v>
      </c>
      <c r="B56" s="166"/>
      <c r="C56" s="166"/>
      <c r="D56" s="166"/>
      <c r="E56" s="167"/>
    </row>
    <row r="57" spans="1:5" ht="16.5" customHeight="1" x14ac:dyDescent="0.2">
      <c r="A57" s="49" t="s">
        <v>164</v>
      </c>
      <c r="B57" s="105" t="s">
        <v>30</v>
      </c>
      <c r="C57" s="42" t="s">
        <v>35</v>
      </c>
      <c r="D57" s="50" t="s">
        <v>30</v>
      </c>
      <c r="E57" s="51" t="s">
        <v>36</v>
      </c>
    </row>
    <row r="58" spans="1:5" ht="32.25" customHeight="1" x14ac:dyDescent="0.2">
      <c r="A58" s="107" t="s">
        <v>132</v>
      </c>
      <c r="B58" s="106">
        <f>'DETALHAMENTO VALORES SUBJETIVOS'!B12</f>
        <v>0</v>
      </c>
      <c r="C58" s="136" t="s">
        <v>131</v>
      </c>
      <c r="D58" s="70">
        <f>TRUNC(B58,2)</f>
        <v>0</v>
      </c>
      <c r="E58" s="61" t="s">
        <v>133</v>
      </c>
    </row>
    <row r="59" spans="1:5" ht="16.5" customHeight="1" thickBot="1" x14ac:dyDescent="0.25">
      <c r="A59" s="62" t="s">
        <v>134</v>
      </c>
      <c r="B59" s="108"/>
      <c r="C59" s="63" t="s">
        <v>39</v>
      </c>
      <c r="D59" s="77">
        <f>SUM(D58:D58)</f>
        <v>0</v>
      </c>
      <c r="E59" s="66" t="s">
        <v>31</v>
      </c>
    </row>
    <row r="60" spans="1:5" ht="13.5" customHeight="1" thickBot="1" x14ac:dyDescent="0.25">
      <c r="A60" s="184"/>
      <c r="B60" s="185"/>
      <c r="C60" s="185"/>
      <c r="D60" s="185"/>
      <c r="E60" s="186"/>
    </row>
    <row r="61" spans="1:5" ht="17.25" customHeight="1" x14ac:dyDescent="0.2">
      <c r="A61" s="49" t="s">
        <v>135</v>
      </c>
      <c r="B61" s="109" t="s">
        <v>30</v>
      </c>
      <c r="C61" s="42" t="s">
        <v>35</v>
      </c>
      <c r="D61" s="50" t="s">
        <v>30</v>
      </c>
      <c r="E61" s="51" t="s">
        <v>36</v>
      </c>
    </row>
    <row r="62" spans="1:5" ht="76.5" x14ac:dyDescent="0.2">
      <c r="A62" s="52" t="s">
        <v>173</v>
      </c>
      <c r="B62" s="106">
        <v>36.57</v>
      </c>
      <c r="C62" s="54" t="str">
        <f>B62 &amp; " * 22"</f>
        <v>36,57 * 22</v>
      </c>
      <c r="D62" s="55">
        <f>TRUNC(B62*22,2)</f>
        <v>804.54</v>
      </c>
      <c r="E62" s="59" t="s">
        <v>169</v>
      </c>
    </row>
    <row r="63" spans="1:5" ht="30.75" customHeight="1" x14ac:dyDescent="0.2">
      <c r="A63" s="52" t="s">
        <v>136</v>
      </c>
      <c r="B63" s="106">
        <v>5.75</v>
      </c>
      <c r="C63" s="54" t="str">
        <f>B63&amp; " * 4 * 22"</f>
        <v>5,75 * 4 * 22</v>
      </c>
      <c r="D63" s="55">
        <f>TRUNC(B63*22*4,2)</f>
        <v>506</v>
      </c>
      <c r="E63" s="59" t="s">
        <v>166</v>
      </c>
    </row>
    <row r="64" spans="1:5" ht="17.25" customHeight="1" x14ac:dyDescent="0.2">
      <c r="A64" s="52" t="s">
        <v>137</v>
      </c>
      <c r="B64" s="106">
        <f>D64</f>
        <v>-506</v>
      </c>
      <c r="C64" s="54" t="s">
        <v>138</v>
      </c>
      <c r="D64" s="55">
        <f>IF(D63&gt;=TRUNC(0.06*D7,2),TRUNC(-0.06*D7,2),-D63)</f>
        <v>-506</v>
      </c>
      <c r="E64" s="79" t="s">
        <v>139</v>
      </c>
    </row>
    <row r="65" spans="1:5" ht="17.25" customHeight="1" x14ac:dyDescent="0.2">
      <c r="A65" s="52" t="s">
        <v>167</v>
      </c>
      <c r="B65" s="106">
        <v>393.02</v>
      </c>
      <c r="C65" s="54" t="str">
        <f>B65 &amp; " * 3"</f>
        <v>393,02 * 3</v>
      </c>
      <c r="D65" s="55">
        <f>ROUND(B65*3,2)</f>
        <v>1179.06</v>
      </c>
      <c r="E65" s="175" t="s">
        <v>165</v>
      </c>
    </row>
    <row r="66" spans="1:5" ht="17.25" customHeight="1" x14ac:dyDescent="0.2">
      <c r="A66" s="46" t="s">
        <v>168</v>
      </c>
      <c r="B66" s="110">
        <v>25</v>
      </c>
      <c r="C66" s="53" t="str">
        <f>B66&amp;" * 3/12"</f>
        <v>25 * 3/12</v>
      </c>
      <c r="D66" s="55">
        <f>ROUND(B66*3/12,2)</f>
        <v>6.25</v>
      </c>
      <c r="E66" s="176"/>
    </row>
    <row r="67" spans="1:5" ht="31.5" customHeight="1" x14ac:dyDescent="0.2">
      <c r="A67" s="57" t="s">
        <v>161</v>
      </c>
      <c r="B67" s="106">
        <f>'DETALHAMENTO VALORES SUBJETIVOS'!B22</f>
        <v>0</v>
      </c>
      <c r="C67" s="53" t="s">
        <v>140</v>
      </c>
      <c r="D67" s="89">
        <f>B67</f>
        <v>0</v>
      </c>
      <c r="E67" s="61" t="s">
        <v>141</v>
      </c>
    </row>
    <row r="68" spans="1:5" ht="17.25" customHeight="1" thickBot="1" x14ac:dyDescent="0.25">
      <c r="A68" s="62" t="s">
        <v>142</v>
      </c>
      <c r="B68" s="111"/>
      <c r="C68" s="63" t="s">
        <v>39</v>
      </c>
      <c r="D68" s="77">
        <f>SUM(D62:D67)</f>
        <v>1989.85</v>
      </c>
      <c r="E68" s="66" t="s">
        <v>31</v>
      </c>
    </row>
    <row r="69" spans="1:5" ht="18.75" customHeight="1" thickBot="1" x14ac:dyDescent="0.3">
      <c r="A69" s="187" t="s">
        <v>171</v>
      </c>
      <c r="B69" s="188"/>
      <c r="C69" s="188"/>
      <c r="D69" s="188"/>
      <c r="E69" s="188"/>
    </row>
    <row r="70" spans="1:5" ht="17.25" customHeight="1" thickBot="1" x14ac:dyDescent="0.25">
      <c r="A70" s="112" t="s">
        <v>143</v>
      </c>
      <c r="B70" s="113"/>
      <c r="C70" s="101" t="s">
        <v>144</v>
      </c>
      <c r="D70" s="102">
        <f>SUM(D59,D68)</f>
        <v>1989.85</v>
      </c>
      <c r="E70" s="103" t="s">
        <v>31</v>
      </c>
    </row>
    <row r="71" spans="1:5" ht="13.5" thickBot="1" x14ac:dyDescent="0.25">
      <c r="A71" s="114"/>
      <c r="B71" s="115"/>
      <c r="C71" s="116"/>
      <c r="D71" s="117"/>
      <c r="E71" s="117"/>
    </row>
    <row r="72" spans="1:5" ht="26.25" customHeight="1" thickBot="1" x14ac:dyDescent="0.25">
      <c r="A72" s="118" t="s">
        <v>145</v>
      </c>
      <c r="B72" s="119" t="s">
        <v>31</v>
      </c>
      <c r="C72" s="119" t="s">
        <v>146</v>
      </c>
      <c r="D72" s="120">
        <f>SUM(D8,D54,D70)</f>
        <v>18968.64</v>
      </c>
      <c r="E72" s="103" t="s">
        <v>31</v>
      </c>
    </row>
    <row r="73" spans="1:5" ht="13.5" thickBot="1" x14ac:dyDescent="0.25">
      <c r="A73" s="121"/>
      <c r="B73" s="122"/>
      <c r="C73" s="122"/>
      <c r="D73" s="123"/>
      <c r="E73" s="124"/>
    </row>
    <row r="74" spans="1:5" ht="17.25" customHeight="1" x14ac:dyDescent="0.2">
      <c r="A74" s="49" t="s">
        <v>147</v>
      </c>
      <c r="B74" s="42" t="s">
        <v>42</v>
      </c>
      <c r="C74" s="42" t="s">
        <v>35</v>
      </c>
      <c r="D74" s="50" t="s">
        <v>30</v>
      </c>
      <c r="E74" s="51" t="s">
        <v>36</v>
      </c>
    </row>
    <row r="75" spans="1:5" ht="17.25" customHeight="1" x14ac:dyDescent="0.2">
      <c r="A75" s="52" t="s">
        <v>20</v>
      </c>
      <c r="B75" s="74">
        <f>'Quadro Resumo'!C13</f>
        <v>0</v>
      </c>
      <c r="C75" s="177" t="s">
        <v>148</v>
      </c>
      <c r="D75" s="125">
        <f>TRUNC(B75*D72,2)</f>
        <v>0</v>
      </c>
      <c r="E75" s="56" t="s">
        <v>31</v>
      </c>
    </row>
    <row r="76" spans="1:5" ht="30.75" customHeight="1" x14ac:dyDescent="0.2">
      <c r="A76" s="52" t="s">
        <v>21</v>
      </c>
      <c r="B76" s="74">
        <f>'Quadro Resumo'!C14</f>
        <v>0</v>
      </c>
      <c r="C76" s="178"/>
      <c r="D76" s="125">
        <f>TRUNC(B76*D72,2)</f>
        <v>0</v>
      </c>
      <c r="E76" s="59" t="s">
        <v>149</v>
      </c>
    </row>
    <row r="77" spans="1:5" ht="16.5" customHeight="1" thickBot="1" x14ac:dyDescent="0.25">
      <c r="A77" s="62" t="s">
        <v>150</v>
      </c>
      <c r="B77" s="76">
        <f>SUM(B75:B76)</f>
        <v>0</v>
      </c>
      <c r="C77" s="63" t="s">
        <v>39</v>
      </c>
      <c r="D77" s="65">
        <f>SUM(D75:D76)</f>
        <v>0</v>
      </c>
      <c r="E77" s="66" t="s">
        <v>31</v>
      </c>
    </row>
    <row r="78" spans="1:5" ht="24" customHeight="1" thickBot="1" x14ac:dyDescent="0.25">
      <c r="A78" s="126"/>
      <c r="B78" s="47"/>
      <c r="C78" s="47"/>
      <c r="D78" s="48"/>
      <c r="E78" s="47"/>
    </row>
    <row r="79" spans="1:5" ht="16.5" customHeight="1" x14ac:dyDescent="0.2">
      <c r="A79" s="127" t="s">
        <v>151</v>
      </c>
      <c r="B79" s="42" t="s">
        <v>42</v>
      </c>
      <c r="C79" s="42" t="s">
        <v>35</v>
      </c>
      <c r="D79" s="50" t="s">
        <v>30</v>
      </c>
      <c r="E79" s="51" t="s">
        <v>36</v>
      </c>
    </row>
    <row r="80" spans="1:5" ht="16.5" customHeight="1" x14ac:dyDescent="0.2">
      <c r="A80" s="52" t="s">
        <v>25</v>
      </c>
      <c r="B80" s="74">
        <f>'Quadro Resumo'!C20</f>
        <v>0</v>
      </c>
      <c r="C80" s="179" t="s">
        <v>152</v>
      </c>
      <c r="D80" s="55">
        <f>TRUNC((($D$72+$D$77)/(1-(($B$80+$B$81+$B$82))))*(B80),2)</f>
        <v>0</v>
      </c>
      <c r="E80" s="79" t="s">
        <v>153</v>
      </c>
    </row>
    <row r="81" spans="1:5" ht="16.5" customHeight="1" x14ac:dyDescent="0.2">
      <c r="A81" s="52" t="s">
        <v>26</v>
      </c>
      <c r="B81" s="74">
        <f>'Quadro Resumo'!C21</f>
        <v>0</v>
      </c>
      <c r="C81" s="180"/>
      <c r="D81" s="55">
        <f>TRUNC((($D$72+$D$77)/(1-(($B$80+$B$81+$B$82))))*(B81),2)</f>
        <v>0</v>
      </c>
      <c r="E81" s="59" t="s">
        <v>154</v>
      </c>
    </row>
    <row r="82" spans="1:5" ht="16.5" customHeight="1" x14ac:dyDescent="0.2">
      <c r="A82" s="52" t="s">
        <v>27</v>
      </c>
      <c r="B82" s="74">
        <f>'Quadro Resumo'!C22</f>
        <v>0</v>
      </c>
      <c r="C82" s="180"/>
      <c r="D82" s="55">
        <f>TRUNC((($D$72+$D$77)/(1-(($B$80+$B$81+$B$82))))*(B82),2)</f>
        <v>0</v>
      </c>
      <c r="E82" s="79" t="s">
        <v>155</v>
      </c>
    </row>
    <row r="83" spans="1:5" ht="16.5" customHeight="1" thickBot="1" x14ac:dyDescent="0.25">
      <c r="A83" s="62" t="s">
        <v>156</v>
      </c>
      <c r="B83" s="76">
        <f>SUM(B80:B82)</f>
        <v>0</v>
      </c>
      <c r="C83" s="63" t="s">
        <v>39</v>
      </c>
      <c r="D83" s="77">
        <f>SUM(D80:D82)</f>
        <v>0</v>
      </c>
      <c r="E83" s="66" t="s">
        <v>31</v>
      </c>
    </row>
    <row r="84" spans="1:5" ht="13.5" thickBot="1" x14ac:dyDescent="0.25">
      <c r="A84" s="46"/>
      <c r="B84" s="47"/>
      <c r="C84" s="47"/>
      <c r="D84" s="48"/>
      <c r="E84" s="47"/>
    </row>
    <row r="85" spans="1:5" ht="16.5" customHeight="1" thickBot="1" x14ac:dyDescent="0.25">
      <c r="A85" s="128" t="s">
        <v>157</v>
      </c>
      <c r="B85" s="129" t="s">
        <v>31</v>
      </c>
      <c r="C85" s="42" t="s">
        <v>35</v>
      </c>
      <c r="D85" s="130" t="s">
        <v>158</v>
      </c>
      <c r="E85" s="51" t="s">
        <v>159</v>
      </c>
    </row>
    <row r="86" spans="1:5" ht="16.5" customHeight="1" thickBot="1" x14ac:dyDescent="0.25">
      <c r="A86" s="131"/>
      <c r="B86" s="132" t="s">
        <v>31</v>
      </c>
      <c r="C86" s="132" t="s">
        <v>160</v>
      </c>
      <c r="D86" s="133">
        <f>SUM(D72,D77,D83)</f>
        <v>18968.64</v>
      </c>
      <c r="E86" s="134">
        <f>D86*12</f>
        <v>227623.67999999999</v>
      </c>
    </row>
  </sheetData>
  <sheetProtection algorithmName="SHA-512" hashValue="PNfTVRL0UQUYIhPSk/ZJM3RzoupT8WcIT6nlQ9vRSfYM2zqEemwgfaCcyKeGDDhzFqlwHcXoM0T2bDK+xW5WMA==" saltValue="eHRSh6F4oVQjGWhKpDkoag==" spinCount="100000" sheet="1" objects="1" scenarios="1"/>
  <mergeCells count="12">
    <mergeCell ref="A56:E56"/>
    <mergeCell ref="A60:E60"/>
    <mergeCell ref="E65:E66"/>
    <mergeCell ref="C75:C76"/>
    <mergeCell ref="C80:C82"/>
    <mergeCell ref="A69:E69"/>
    <mergeCell ref="B51:E51"/>
    <mergeCell ref="A1:E1"/>
    <mergeCell ref="A10:E10"/>
    <mergeCell ref="D40:E40"/>
    <mergeCell ref="B41:E41"/>
    <mergeCell ref="B50:E50"/>
  </mergeCells>
  <conditionalFormatting sqref="B67">
    <cfRule type="expression" dxfId="0" priority="1">
      <formula>ISBLANK($B$67)</formula>
    </cfRule>
  </conditionalFormatting>
  <pageMargins left="0.51181102362204722" right="0.51181102362204722" top="0.78740157480314965" bottom="0.78740157480314965" header="0.31496062992125984" footer="0.31496062992125984"/>
  <pageSetup paperSize="9" scale="42" orientation="portrait" r:id="rId1"/>
  <headerFooter>
    <oddFooter>&amp;C_x000D_&amp;1#&amp;"Calibri"&amp;10&amp;K000000 INFORMAÇÃO CONTROLADA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6FC78E9DAA7468FEFE956425FE6ED" ma:contentTypeVersion="18" ma:contentTypeDescription="Crie um novo documento." ma:contentTypeScope="" ma:versionID="dd7ff0c70683961e87809708fb63d7cb">
  <xsd:schema xmlns:xsd="http://www.w3.org/2001/XMLSchema" xmlns:xs="http://www.w3.org/2001/XMLSchema" xmlns:p="http://schemas.microsoft.com/office/2006/metadata/properties" xmlns:ns2="560cca0d-35ea-4002-ac47-83492c783f9b" xmlns:ns3="f41e4967-f77e-4162-aa81-3b08026accb9" targetNamespace="http://schemas.microsoft.com/office/2006/metadata/properties" ma:root="true" ma:fieldsID="a1f1f4e8522460cca4f96a56ffebfe38" ns2:_="" ns3:_="">
    <xsd:import namespace="560cca0d-35ea-4002-ac47-83492c783f9b"/>
    <xsd:import namespace="f41e4967-f77e-4162-aa81-3b08026a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cca0d-35ea-4002-ac47-83492c783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577935-f3ef-4477-88ef-d25db4c16c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e4967-f77e-4162-aa81-3b08026a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95e1e5-fc1a-49cd-9429-c9762278c382}" ma:internalName="TaxCatchAll" ma:showField="CatchAllData" ma:web="f41e4967-f77e-4162-aa81-3b08026a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0cca0d-35ea-4002-ac47-83492c783f9b">
      <Terms xmlns="http://schemas.microsoft.com/office/infopath/2007/PartnerControls"/>
    </lcf76f155ced4ddcb4097134ff3c332f>
    <TaxCatchAll xmlns="f41e4967-f77e-4162-aa81-3b08026accb9" xsi:nil="true"/>
  </documentManagement>
</p:properties>
</file>

<file path=customXml/itemProps1.xml><?xml version="1.0" encoding="utf-8"?>
<ds:datastoreItem xmlns:ds="http://schemas.openxmlformats.org/officeDocument/2006/customXml" ds:itemID="{1215AC6F-4C32-4138-8ABB-2B8F73E95C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0cca0d-35ea-4002-ac47-83492c783f9b"/>
    <ds:schemaRef ds:uri="f41e4967-f77e-4162-aa81-3b08026ac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FEFACC-3F3D-4EB4-A891-3D1E16475F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4A414F-2646-4D3B-8359-53837027C470}">
  <ds:schemaRefs>
    <ds:schemaRef ds:uri="http://purl.org/dc/terms/"/>
    <ds:schemaRef ds:uri="http://www.w3.org/XML/1998/namespace"/>
    <ds:schemaRef ds:uri="http://schemas.openxmlformats.org/package/2006/metadata/core-properties"/>
    <ds:schemaRef ds:uri="560cca0d-35ea-4002-ac47-83492c783f9b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41e4967-f77e-4162-aa81-3b08026acc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DETALHAMENTO VALORES SUBJETIVOS</vt:lpstr>
      <vt:lpstr>Quadro Resumo</vt:lpstr>
      <vt:lpstr>Posto 1</vt:lpstr>
      <vt:lpstr>Posto 2</vt:lpstr>
      <vt:lpstr>Posto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2025-05-19T19:38:21Z</dcterms:created>
  <dcterms:modified xsi:type="dcterms:W3CDTF">2025-11-10T18:04:04Z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0x010100A846FC78E9DAA7468FEFE956425FE6ED</vt:lpwstr>
  </property>
  <property fmtid="{D5CDD505-2E9C-101B-9397-08002B2CF9AE}" pid="3" name="MediaServiceImageTags">
    <vt:lpwstr/>
  </property>
  <property fmtid="{D5CDD505-2E9C-101B-9397-08002B2CF9AE}" pid="4" name="MSIP_Label_65cc71c9-6a24-4be2-ae27-9d77a81654b2_Enabled">
    <vt:lpwstr>true</vt:lpwstr>
  </property>
  <property fmtid="{D5CDD505-2E9C-101B-9397-08002B2CF9AE}" pid="5" name="MSIP_Label_65cc71c9-6a24-4be2-ae27-9d77a81654b2_SetDate">
    <vt:lpwstr>2025-10-22T19:08:29Z</vt:lpwstr>
  </property>
  <property fmtid="{D5CDD505-2E9C-101B-9397-08002B2CF9AE}" pid="6" name="MSIP_Label_65cc71c9-6a24-4be2-ae27-9d77a81654b2_Method">
    <vt:lpwstr>Standard</vt:lpwstr>
  </property>
  <property fmtid="{D5CDD505-2E9C-101B-9397-08002B2CF9AE}" pid="7" name="MSIP_Label_65cc71c9-6a24-4be2-ae27-9d77a81654b2_Name">
    <vt:lpwstr>Controlada</vt:lpwstr>
  </property>
  <property fmtid="{D5CDD505-2E9C-101B-9397-08002B2CF9AE}" pid="8" name="MSIP_Label_65cc71c9-6a24-4be2-ae27-9d77a81654b2_SiteId">
    <vt:lpwstr>87706aaa-22dc-4382-aafd-e2209734bdb5</vt:lpwstr>
  </property>
  <property fmtid="{D5CDD505-2E9C-101B-9397-08002B2CF9AE}" pid="9" name="MSIP_Label_65cc71c9-6a24-4be2-ae27-9d77a81654b2_ActionId">
    <vt:lpwstr>a4a5c6be-fdfa-4691-84f4-9d31f363ee95</vt:lpwstr>
  </property>
  <property fmtid="{D5CDD505-2E9C-101B-9397-08002B2CF9AE}" pid="10" name="MSIP_Label_65cc71c9-6a24-4be2-ae27-9d77a81654b2_ContentBits">
    <vt:lpwstr>2</vt:lpwstr>
  </property>
  <property fmtid="{D5CDD505-2E9C-101B-9397-08002B2CF9AE}" pid="11" name="MSIP_Label_65cc71c9-6a24-4be2-ae27-9d77a81654b2_Tag">
    <vt:lpwstr>10, 3, 0, 1</vt:lpwstr>
  </property>
</Properties>
</file>