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bdmg365-my.sharepoint.com/personal/sergiov_bdmg_mg_gov_br/Documents/Downloads/"/>
    </mc:Choice>
  </mc:AlternateContent>
  <xr:revisionPtr revIDLastSave="24" documentId="8_{E4A3D075-023B-43A7-AD76-A9C6CCC06CDC}" xr6:coauthVersionLast="47" xr6:coauthVersionMax="47" xr10:uidLastSave="{C254A508-F405-43E9-8A9B-3E70E9B1E78B}"/>
  <bookViews>
    <workbookView xWindow="-120" yWindow="-120" windowWidth="21840" windowHeight="13140" tabRatio="936" xr2:uid="{00000000-000D-0000-FFFF-FFFF00000000}"/>
  </bookViews>
  <sheets>
    <sheet name="CUSTOS DE VALOR SUBJETIVO" sheetId="80" r:id="rId1"/>
    <sheet name="Quadro Resumo" sheetId="52" r:id="rId2"/>
    <sheet name="Posto 1" sheetId="57" r:id="rId3"/>
    <sheet name="Posto 2" sheetId="54" r:id="rId4"/>
    <sheet name="Posto 3" sheetId="84" r:id="rId5"/>
    <sheet name="Posto 4" sheetId="82" r:id="rId6"/>
    <sheet name="Posto 5" sheetId="83" r:id="rId7"/>
    <sheet name="Posto 6" sheetId="85" r:id="rId8"/>
    <sheet name="Posto 7" sheetId="86" r:id="rId9"/>
  </sheets>
  <definedNames>
    <definedName name="_xlnm.Print_Area" localSheetId="1">'Quadro Resumo'!$A$1:$F$38</definedName>
    <definedName name="CARIMBO">INDEX(#REF!,MATCH(#REF!,#REF!,0))</definedName>
    <definedName name="cestabasica">#REF!</definedName>
    <definedName name="CONTAGEM">#REF!</definedName>
    <definedName name="encargos">#REF!</definedName>
    <definedName name="Excel_BuiltIn_Print_Area">#REF!</definedName>
    <definedName name="Excel_BuiltIn_Print_Area_1">#REF!</definedName>
    <definedName name="Excel_BuiltIn_Print_Area_2">#REF!</definedName>
    <definedName name="grupoa">#REF!</definedName>
    <definedName name="grupob">#REF!</definedName>
    <definedName name="grupoc">#REF!</definedName>
    <definedName name="grupod">#REF!</definedName>
    <definedName name="horasnoturnaspormes">#REF!</definedName>
    <definedName name="insumos">#REF!</definedName>
    <definedName name="OLE_LINK1" localSheetId="1">'Quadro Resumo'!#REF!</definedName>
    <definedName name="provadeimposto">#REF!</definedName>
    <definedName name="quantidade">#REF!</definedName>
    <definedName name="remuneracao">#REF!</definedName>
    <definedName name="remuneracaomaisreserva">#REF!</definedName>
    <definedName name="reservatecnica">#REF!</definedName>
    <definedName name="salario">#REF!</definedName>
    <definedName name="salariosupervisor">#REF!</definedName>
    <definedName name="segurodevida">#REF!</definedName>
    <definedName name="soma">#REF!</definedName>
    <definedName name="subsoma">#REF!</definedName>
    <definedName name="tarifaonibus">#REF!</definedName>
    <definedName name="totaldeinsumos">#REF!</definedName>
    <definedName name="treinamento">#REF!</definedName>
    <definedName name="uniforme">#REF!</definedName>
    <definedName name="valordahoranoturn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4" i="82" l="1"/>
  <c r="B84" i="83"/>
  <c r="B76" i="86"/>
  <c r="B75" i="85"/>
  <c r="B74" i="86"/>
  <c r="B19" i="85"/>
  <c r="B20" i="85" s="1"/>
  <c r="B37" i="85" s="1"/>
  <c r="B69" i="86"/>
  <c r="B32" i="54"/>
  <c r="B32" i="84"/>
  <c r="B32" i="82"/>
  <c r="B32" i="83"/>
  <c r="B32" i="85"/>
  <c r="B32" i="86"/>
  <c r="B32" i="57"/>
  <c r="B34" i="54"/>
  <c r="B34" i="84"/>
  <c r="B34" i="82"/>
  <c r="B34" i="83"/>
  <c r="B34" i="85"/>
  <c r="B34" i="86"/>
  <c r="B34" i="57"/>
  <c r="D4" i="84"/>
  <c r="D7" i="84" s="1"/>
  <c r="D4" i="83"/>
  <c r="D4" i="86"/>
  <c r="D7" i="86" s="1"/>
  <c r="A1" i="85"/>
  <c r="A1" i="86"/>
  <c r="A4" i="86"/>
  <c r="B60" i="86"/>
  <c r="D60" i="86" s="1"/>
  <c r="B59" i="86"/>
  <c r="C59" i="86" s="1"/>
  <c r="D57" i="86"/>
  <c r="C57" i="86"/>
  <c r="D56" i="86"/>
  <c r="C56" i="86"/>
  <c r="B47" i="86"/>
  <c r="B46" i="86"/>
  <c r="B45" i="86"/>
  <c r="B44" i="86"/>
  <c r="B35" i="86"/>
  <c r="B33" i="86"/>
  <c r="B31" i="86"/>
  <c r="B29" i="86"/>
  <c r="B28" i="86"/>
  <c r="B23" i="86"/>
  <c r="A4" i="83"/>
  <c r="A4" i="84"/>
  <c r="B74" i="85"/>
  <c r="B60" i="85"/>
  <c r="C60" i="85" s="1"/>
  <c r="B59" i="85"/>
  <c r="D59" i="85" s="1"/>
  <c r="D57" i="85"/>
  <c r="C57" i="85"/>
  <c r="D56" i="85"/>
  <c r="C56" i="85"/>
  <c r="B47" i="85"/>
  <c r="D47" i="85" s="1"/>
  <c r="B46" i="85"/>
  <c r="B45" i="85"/>
  <c r="B44" i="85"/>
  <c r="B35" i="85"/>
  <c r="B33" i="85"/>
  <c r="B31" i="85"/>
  <c r="B29" i="85"/>
  <c r="B28" i="85"/>
  <c r="B23" i="85"/>
  <c r="D4" i="85"/>
  <c r="D7" i="85" s="1"/>
  <c r="D8" i="85" s="1"/>
  <c r="D32" i="85" s="1"/>
  <c r="A4" i="85"/>
  <c r="A1" i="83"/>
  <c r="A1" i="82"/>
  <c r="A1" i="54"/>
  <c r="A1" i="84"/>
  <c r="B75" i="84"/>
  <c r="B60" i="84"/>
  <c r="D60" i="84" s="1"/>
  <c r="B59" i="84"/>
  <c r="D59" i="84" s="1"/>
  <c r="D57" i="84"/>
  <c r="C57" i="84"/>
  <c r="D56" i="84"/>
  <c r="C56" i="84"/>
  <c r="B47" i="84"/>
  <c r="B46" i="84"/>
  <c r="B45" i="84"/>
  <c r="B44" i="84"/>
  <c r="B35" i="84"/>
  <c r="B33" i="84"/>
  <c r="B48" i="84"/>
  <c r="B31" i="84"/>
  <c r="B29" i="84"/>
  <c r="B28" i="84"/>
  <c r="B23" i="84"/>
  <c r="B9" i="80"/>
  <c r="B61" i="54" s="1"/>
  <c r="B76" i="84" l="1"/>
  <c r="B61" i="85"/>
  <c r="B61" i="83"/>
  <c r="B61" i="82"/>
  <c r="D61" i="82" s="1"/>
  <c r="B61" i="84"/>
  <c r="D61" i="54"/>
  <c r="B61" i="57"/>
  <c r="D61" i="57" s="1"/>
  <c r="B61" i="86"/>
  <c r="D61" i="86" s="1"/>
  <c r="B84" i="54"/>
  <c r="D84" i="54"/>
  <c r="D84" i="86"/>
  <c r="D84" i="57"/>
  <c r="D84" i="83"/>
  <c r="B84" i="84"/>
  <c r="D84" i="84"/>
  <c r="B84" i="85"/>
  <c r="D84" i="85"/>
  <c r="B84" i="57"/>
  <c r="B84" i="82"/>
  <c r="B84" i="86"/>
  <c r="B76" i="85"/>
  <c r="B77" i="85" s="1"/>
  <c r="D35" i="85"/>
  <c r="D58" i="85"/>
  <c r="B58" i="85" s="1"/>
  <c r="B74" i="84"/>
  <c r="D31" i="85"/>
  <c r="D37" i="85"/>
  <c r="C60" i="84"/>
  <c r="D23" i="85"/>
  <c r="D61" i="84"/>
  <c r="D61" i="85"/>
  <c r="B69" i="85"/>
  <c r="B69" i="84"/>
  <c r="B75" i="86"/>
  <c r="B77" i="86" s="1"/>
  <c r="B19" i="86"/>
  <c r="B20" i="86" s="1"/>
  <c r="B24" i="86" s="1"/>
  <c r="B25" i="86" s="1"/>
  <c r="B19" i="84"/>
  <c r="B20" i="84" s="1"/>
  <c r="B37" i="84" s="1"/>
  <c r="D60" i="85"/>
  <c r="D59" i="86"/>
  <c r="D8" i="86"/>
  <c r="D46" i="86" s="1"/>
  <c r="D58" i="86"/>
  <c r="B48" i="86"/>
  <c r="C60" i="86"/>
  <c r="D45" i="85"/>
  <c r="D16" i="85"/>
  <c r="D12" i="85"/>
  <c r="D15" i="85"/>
  <c r="D18" i="85"/>
  <c r="D14" i="85"/>
  <c r="D17" i="85"/>
  <c r="D13" i="85"/>
  <c r="D33" i="85"/>
  <c r="D19" i="85"/>
  <c r="D29" i="85"/>
  <c r="D34" i="85"/>
  <c r="D46" i="85"/>
  <c r="B24" i="85"/>
  <c r="D24" i="85" s="1"/>
  <c r="B48" i="85"/>
  <c r="D48" i="85" s="1"/>
  <c r="D28" i="85"/>
  <c r="D44" i="85"/>
  <c r="C59" i="85"/>
  <c r="B49" i="84"/>
  <c r="D58" i="84"/>
  <c r="B58" i="84" s="1"/>
  <c r="D8" i="84"/>
  <c r="D34" i="84" s="1"/>
  <c r="C59" i="84"/>
  <c r="D61" i="83"/>
  <c r="B76" i="83"/>
  <c r="B75" i="83"/>
  <c r="B74" i="83"/>
  <c r="B69" i="83"/>
  <c r="B60" i="83"/>
  <c r="D60" i="83" s="1"/>
  <c r="B59" i="83"/>
  <c r="C59" i="83" s="1"/>
  <c r="D57" i="83"/>
  <c r="C57" i="83"/>
  <c r="D56" i="83"/>
  <c r="C56" i="83"/>
  <c r="B47" i="83"/>
  <c r="B46" i="83"/>
  <c r="B45" i="83"/>
  <c r="B44" i="83"/>
  <c r="B35" i="83"/>
  <c r="B33" i="83"/>
  <c r="B31" i="83"/>
  <c r="B29" i="83"/>
  <c r="B28" i="83"/>
  <c r="B23" i="83"/>
  <c r="B19" i="83"/>
  <c r="B20" i="83" s="1"/>
  <c r="B76" i="82"/>
  <c r="B75" i="82"/>
  <c r="B74" i="82"/>
  <c r="B69" i="82"/>
  <c r="B60" i="82"/>
  <c r="D60" i="82" s="1"/>
  <c r="B59" i="82"/>
  <c r="D59" i="82" s="1"/>
  <c r="D57" i="82"/>
  <c r="C57" i="82"/>
  <c r="D56" i="82"/>
  <c r="C56" i="82"/>
  <c r="B47" i="82"/>
  <c r="B46" i="82"/>
  <c r="B45" i="82"/>
  <c r="B44" i="82"/>
  <c r="B35" i="82"/>
  <c r="B33" i="82"/>
  <c r="B31" i="82"/>
  <c r="B29" i="82"/>
  <c r="B28" i="82"/>
  <c r="B23" i="82"/>
  <c r="B19" i="82"/>
  <c r="B20" i="82" s="1"/>
  <c r="D4" i="82"/>
  <c r="D7" i="82" s="1"/>
  <c r="B77" i="84" l="1"/>
  <c r="D45" i="84"/>
  <c r="D25" i="85"/>
  <c r="B37" i="86"/>
  <c r="D37" i="86" s="1"/>
  <c r="B24" i="84"/>
  <c r="D24" i="84" s="1"/>
  <c r="D48" i="84"/>
  <c r="D23" i="84"/>
  <c r="D44" i="84"/>
  <c r="D31" i="84"/>
  <c r="D32" i="84"/>
  <c r="D37" i="84"/>
  <c r="D28" i="84"/>
  <c r="D46" i="84"/>
  <c r="D28" i="86"/>
  <c r="D33" i="84"/>
  <c r="D29" i="84"/>
  <c r="D35" i="86"/>
  <c r="D19" i="86"/>
  <c r="D35" i="84"/>
  <c r="D32" i="86"/>
  <c r="D31" i="86"/>
  <c r="D48" i="86"/>
  <c r="D45" i="86"/>
  <c r="D23" i="86"/>
  <c r="D44" i="86"/>
  <c r="D29" i="86"/>
  <c r="D33" i="86"/>
  <c r="D47" i="86"/>
  <c r="D24" i="86"/>
  <c r="B58" i="86"/>
  <c r="D18" i="86"/>
  <c r="D14" i="86"/>
  <c r="D17" i="86"/>
  <c r="D16" i="86"/>
  <c r="D15" i="86"/>
  <c r="D13" i="86"/>
  <c r="D12" i="86"/>
  <c r="D34" i="86"/>
  <c r="B49" i="86"/>
  <c r="B25" i="85"/>
  <c r="D20" i="85"/>
  <c r="D49" i="85"/>
  <c r="B49" i="85"/>
  <c r="D16" i="84"/>
  <c r="D12" i="84"/>
  <c r="D15" i="84"/>
  <c r="D17" i="84"/>
  <c r="D13" i="84"/>
  <c r="D18" i="84"/>
  <c r="D14" i="84"/>
  <c r="D47" i="84"/>
  <c r="D19" i="84"/>
  <c r="B77" i="82"/>
  <c r="B37" i="82"/>
  <c r="B77" i="83"/>
  <c r="D59" i="83"/>
  <c r="B24" i="83"/>
  <c r="B25" i="83" s="1"/>
  <c r="B37" i="83"/>
  <c r="B48" i="83"/>
  <c r="B49" i="83" s="1"/>
  <c r="C60" i="83"/>
  <c r="D8" i="82"/>
  <c r="D58" i="82"/>
  <c r="B58" i="82" s="1"/>
  <c r="B49" i="82"/>
  <c r="B24" i="82"/>
  <c r="B48" i="82"/>
  <c r="C60" i="82"/>
  <c r="C59" i="82"/>
  <c r="B25" i="84" l="1"/>
  <c r="D25" i="84"/>
  <c r="D49" i="84"/>
  <c r="D49" i="86"/>
  <c r="D20" i="86"/>
  <c r="D25" i="86"/>
  <c r="D20" i="84"/>
  <c r="D37" i="82"/>
  <c r="D32" i="82"/>
  <c r="D44" i="82"/>
  <c r="D24" i="82"/>
  <c r="D34" i="82"/>
  <c r="D28" i="82"/>
  <c r="D48" i="82"/>
  <c r="D46" i="82"/>
  <c r="B25" i="82"/>
  <c r="D47" i="82"/>
  <c r="D35" i="82"/>
  <c r="D31" i="82"/>
  <c r="D23" i="82"/>
  <c r="D15" i="82"/>
  <c r="D18" i="82"/>
  <c r="D14" i="82"/>
  <c r="D17" i="82"/>
  <c r="D13" i="82"/>
  <c r="D45" i="82"/>
  <c r="D33" i="82"/>
  <c r="D29" i="82"/>
  <c r="D19" i="82"/>
  <c r="D16" i="82"/>
  <c r="D12" i="82"/>
  <c r="D25" i="82" l="1"/>
  <c r="D49" i="82"/>
  <c r="D20" i="82"/>
  <c r="D7" i="83"/>
  <c r="D4" i="54"/>
  <c r="A4" i="82"/>
  <c r="A4" i="54"/>
  <c r="D58" i="83" l="1"/>
  <c r="D8" i="83"/>
  <c r="A4" i="57"/>
  <c r="D45" i="83" l="1"/>
  <c r="D34" i="83"/>
  <c r="D44" i="83"/>
  <c r="D19" i="83"/>
  <c r="D46" i="83"/>
  <c r="D31" i="83"/>
  <c r="D23" i="83"/>
  <c r="D33" i="83"/>
  <c r="D35" i="83"/>
  <c r="D29" i="83"/>
  <c r="D32" i="83"/>
  <c r="D48" i="83"/>
  <c r="D14" i="83"/>
  <c r="D13" i="83"/>
  <c r="D28" i="83"/>
  <c r="D17" i="83"/>
  <c r="D37" i="83"/>
  <c r="D16" i="83"/>
  <c r="D12" i="83"/>
  <c r="D15" i="83"/>
  <c r="D47" i="83"/>
  <c r="D18" i="83"/>
  <c r="D24" i="83"/>
  <c r="B58" i="83"/>
  <c r="D25" i="83" l="1"/>
  <c r="D20" i="83"/>
  <c r="D49" i="83"/>
  <c r="D56" i="54"/>
  <c r="C56" i="54"/>
  <c r="B45" i="57" l="1"/>
  <c r="B44" i="57"/>
  <c r="B35" i="57"/>
  <c r="B35" i="54"/>
  <c r="B44" i="54"/>
  <c r="B47" i="54"/>
  <c r="B47" i="57"/>
  <c r="B45" i="54"/>
  <c r="B17" i="80" l="1"/>
  <c r="B62" i="86" l="1"/>
  <c r="D62" i="86" s="1"/>
  <c r="D63" i="86" s="1"/>
  <c r="D36" i="86" s="1"/>
  <c r="B62" i="85"/>
  <c r="D62" i="85" s="1"/>
  <c r="D63" i="85" s="1"/>
  <c r="D36" i="85" s="1"/>
  <c r="B62" i="84"/>
  <c r="D62" i="84" s="1"/>
  <c r="D63" i="84" s="1"/>
  <c r="D36" i="84" s="1"/>
  <c r="B62" i="54"/>
  <c r="B62" i="83"/>
  <c r="D62" i="83" s="1"/>
  <c r="D63" i="83" s="1"/>
  <c r="D36" i="83" s="1"/>
  <c r="B62" i="82"/>
  <c r="D62" i="82" s="1"/>
  <c r="D63" i="82" s="1"/>
  <c r="D36" i="82" s="1"/>
  <c r="B62" i="57"/>
  <c r="B30" i="80"/>
  <c r="B22" i="52" s="1"/>
  <c r="D30" i="85" l="1"/>
  <c r="B36" i="85"/>
  <c r="B38" i="85" s="1"/>
  <c r="D38" i="85" s="1"/>
  <c r="D30" i="84"/>
  <c r="B36" i="84"/>
  <c r="B38" i="84" s="1"/>
  <c r="D38" i="84" s="1"/>
  <c r="D30" i="86"/>
  <c r="B36" i="86"/>
  <c r="B38" i="86" s="1"/>
  <c r="D38" i="86" s="1"/>
  <c r="B70" i="86"/>
  <c r="B70" i="84"/>
  <c r="B70" i="85"/>
  <c r="D30" i="83"/>
  <c r="B36" i="83"/>
  <c r="B38" i="83" s="1"/>
  <c r="D38" i="83" s="1"/>
  <c r="D30" i="82"/>
  <c r="B36" i="82"/>
  <c r="B38" i="82" s="1"/>
  <c r="D38" i="82" s="1"/>
  <c r="B70" i="83"/>
  <c r="B70" i="82"/>
  <c r="B46" i="54"/>
  <c r="B46" i="57"/>
  <c r="B30" i="84" l="1"/>
  <c r="B39" i="84" s="1"/>
  <c r="B52" i="84" s="1"/>
  <c r="D39" i="84"/>
  <c r="D52" i="84" s="1"/>
  <c r="D66" i="84" s="1"/>
  <c r="D69" i="84" s="1"/>
  <c r="B30" i="86"/>
  <c r="B39" i="86" s="1"/>
  <c r="B52" i="86" s="1"/>
  <c r="D39" i="86"/>
  <c r="D52" i="86" s="1"/>
  <c r="D66" i="86" s="1"/>
  <c r="D69" i="86" s="1"/>
  <c r="B30" i="85"/>
  <c r="B39" i="85" s="1"/>
  <c r="B52" i="85" s="1"/>
  <c r="D39" i="85"/>
  <c r="D52" i="85" s="1"/>
  <c r="D66" i="85" s="1"/>
  <c r="D69" i="85" s="1"/>
  <c r="B71" i="85"/>
  <c r="B71" i="84"/>
  <c r="B71" i="86"/>
  <c r="B30" i="82"/>
  <c r="B39" i="82" s="1"/>
  <c r="B52" i="82" s="1"/>
  <c r="D39" i="82"/>
  <c r="D52" i="82" s="1"/>
  <c r="D66" i="82" s="1"/>
  <c r="D69" i="82" s="1"/>
  <c r="B30" i="83"/>
  <c r="B39" i="83" s="1"/>
  <c r="B52" i="83" s="1"/>
  <c r="D39" i="83"/>
  <c r="D52" i="83" s="1"/>
  <c r="D66" i="83" s="1"/>
  <c r="D69" i="83" s="1"/>
  <c r="B71" i="82"/>
  <c r="B71" i="83"/>
  <c r="C56" i="57"/>
  <c r="D70" i="85" l="1"/>
  <c r="D71" i="85" s="1"/>
  <c r="D75" i="85" s="1"/>
  <c r="D70" i="86"/>
  <c r="D71" i="86" s="1"/>
  <c r="D74" i="86" s="1"/>
  <c r="D70" i="84"/>
  <c r="D71" i="84" s="1"/>
  <c r="D75" i="84" s="1"/>
  <c r="D70" i="83"/>
  <c r="D71" i="83" s="1"/>
  <c r="D76" i="83" s="1"/>
  <c r="D70" i="82"/>
  <c r="D71" i="82" s="1"/>
  <c r="D75" i="82" s="1"/>
  <c r="D57" i="54"/>
  <c r="C57" i="54"/>
  <c r="D4" i="57"/>
  <c r="D75" i="86" l="1"/>
  <c r="D74" i="84"/>
  <c r="D76" i="86"/>
  <c r="D76" i="84"/>
  <c r="D74" i="85"/>
  <c r="D76" i="85"/>
  <c r="D74" i="83"/>
  <c r="D75" i="83"/>
  <c r="D76" i="82"/>
  <c r="D74" i="82"/>
  <c r="B60" i="54"/>
  <c r="B60" i="57"/>
  <c r="B59" i="54"/>
  <c r="B59" i="57"/>
  <c r="B48" i="54"/>
  <c r="B48" i="57"/>
  <c r="B49" i="57" s="1"/>
  <c r="D77" i="86" l="1"/>
  <c r="D80" i="86" s="1"/>
  <c r="E80" i="86" s="1"/>
  <c r="B83" i="86" s="1"/>
  <c r="D83" i="86" s="1"/>
  <c r="E83" i="86" s="1"/>
  <c r="D77" i="84"/>
  <c r="D80" i="84" s="1"/>
  <c r="C9" i="52" s="1"/>
  <c r="E9" i="52" s="1"/>
  <c r="F9" i="52" s="1"/>
  <c r="G9" i="52" s="1"/>
  <c r="D77" i="85"/>
  <c r="D80" i="85" s="1"/>
  <c r="E80" i="85" s="1"/>
  <c r="B83" i="85" s="1"/>
  <c r="D83" i="85" s="1"/>
  <c r="E83" i="85" s="1"/>
  <c r="D77" i="82"/>
  <c r="D80" i="82" s="1"/>
  <c r="E80" i="82" s="1"/>
  <c r="B83" i="82" s="1"/>
  <c r="D83" i="82" s="1"/>
  <c r="E83" i="82" s="1"/>
  <c r="D77" i="83"/>
  <c r="D80" i="83" s="1"/>
  <c r="C60" i="57"/>
  <c r="D60" i="57"/>
  <c r="C60" i="54"/>
  <c r="D60" i="54"/>
  <c r="D59" i="54"/>
  <c r="C59" i="54"/>
  <c r="D59" i="57"/>
  <c r="C59" i="57"/>
  <c r="B49" i="54"/>
  <c r="B33" i="54"/>
  <c r="B33" i="57"/>
  <c r="B31" i="54"/>
  <c r="B31" i="57"/>
  <c r="C13" i="52" l="1"/>
  <c r="E13" i="52" s="1"/>
  <c r="F13" i="52" s="1"/>
  <c r="G13" i="52" s="1"/>
  <c r="E80" i="84"/>
  <c r="B83" i="84" s="1"/>
  <c r="D83" i="84" s="1"/>
  <c r="E83" i="84" s="1"/>
  <c r="C12" i="52"/>
  <c r="E80" i="83"/>
  <c r="B83" i="83" s="1"/>
  <c r="D83" i="83" s="1"/>
  <c r="E83" i="83" s="1"/>
  <c r="C11" i="52"/>
  <c r="E11" i="52" s="1"/>
  <c r="F11" i="52" s="1"/>
  <c r="G11" i="52" s="1"/>
  <c r="C10" i="52"/>
  <c r="E10" i="52" s="1"/>
  <c r="F10" i="52" s="1"/>
  <c r="G10" i="52" s="1"/>
  <c r="C57" i="57" l="1"/>
  <c r="B29" i="54"/>
  <c r="B29" i="57"/>
  <c r="B69" i="54"/>
  <c r="B69" i="57"/>
  <c r="D57" i="57" l="1"/>
  <c r="D56" i="57"/>
  <c r="D62" i="54" l="1"/>
  <c r="D62" i="57"/>
  <c r="B76" i="54" l="1"/>
  <c r="B75" i="54"/>
  <c r="B74" i="54"/>
  <c r="B70" i="54"/>
  <c r="B28" i="54"/>
  <c r="B23" i="54"/>
  <c r="B19" i="54"/>
  <c r="B20" i="54" s="1"/>
  <c r="D7" i="54"/>
  <c r="D58" i="54" s="1"/>
  <c r="D63" i="54" s="1"/>
  <c r="D30" i="54" l="1"/>
  <c r="B37" i="54"/>
  <c r="B58" i="54"/>
  <c r="B77" i="54"/>
  <c r="B24" i="54"/>
  <c r="B25" i="54" s="1"/>
  <c r="A1" i="57"/>
  <c r="D8" i="54" l="1"/>
  <c r="D36" i="54" s="1"/>
  <c r="D47" i="54" l="1"/>
  <c r="B36" i="54"/>
  <c r="B38" i="54" s="1"/>
  <c r="B30" i="54"/>
  <c r="D48" i="54"/>
  <c r="D35" i="54"/>
  <c r="D44" i="54"/>
  <c r="D46" i="54"/>
  <c r="D17" i="54"/>
  <c r="D13" i="54"/>
  <c r="D16" i="54"/>
  <c r="D12" i="54"/>
  <c r="D28" i="54"/>
  <c r="D18" i="54"/>
  <c r="D14" i="54"/>
  <c r="D29" i="54"/>
  <c r="D15" i="54"/>
  <c r="D33" i="54"/>
  <c r="D23" i="54"/>
  <c r="D34" i="54"/>
  <c r="D19" i="54"/>
  <c r="D31" i="54"/>
  <c r="D32" i="54"/>
  <c r="D24" i="54"/>
  <c r="B28" i="57"/>
  <c r="D38" i="54" l="1"/>
  <c r="D25" i="54"/>
  <c r="D20" i="54"/>
  <c r="B70" i="57" l="1"/>
  <c r="B76" i="57"/>
  <c r="B75" i="57"/>
  <c r="B74" i="57"/>
  <c r="B19" i="57"/>
  <c r="B23" i="57" l="1"/>
  <c r="B20" i="57"/>
  <c r="B37" i="57" s="1"/>
  <c r="D7" i="57" l="1"/>
  <c r="B71" i="54"/>
  <c r="B71" i="57"/>
  <c r="B24" i="57"/>
  <c r="B77" i="57"/>
  <c r="D58" i="57" l="1"/>
  <c r="D63" i="57" s="1"/>
  <c r="B25" i="57"/>
  <c r="D30" i="57" l="1"/>
  <c r="D8" i="57"/>
  <c r="D36" i="57" s="1"/>
  <c r="B58" i="57"/>
  <c r="D48" i="57" l="1"/>
  <c r="D29" i="57"/>
  <c r="D47" i="57"/>
  <c r="B36" i="57"/>
  <c r="B38" i="57" s="1"/>
  <c r="D38" i="57" s="1"/>
  <c r="D16" i="57"/>
  <c r="D19" i="57"/>
  <c r="D33" i="57"/>
  <c r="D34" i="57"/>
  <c r="D17" i="57"/>
  <c r="D14" i="57"/>
  <c r="D35" i="57"/>
  <c r="D32" i="57"/>
  <c r="D23" i="57"/>
  <c r="D46" i="57"/>
  <c r="B30" i="57"/>
  <c r="D31" i="57"/>
  <c r="D15" i="57"/>
  <c r="D13" i="57"/>
  <c r="D12" i="57"/>
  <c r="D18" i="57"/>
  <c r="D28" i="57"/>
  <c r="D24" i="57"/>
  <c r="D44" i="57"/>
  <c r="D25" i="57" l="1"/>
  <c r="D20" i="57"/>
  <c r="D45" i="54"/>
  <c r="D49" i="54" s="1"/>
  <c r="D45" i="57"/>
  <c r="D49" i="57" s="1"/>
  <c r="D37" i="54" l="1"/>
  <c r="D39" i="54" s="1"/>
  <c r="D52" i="54" s="1"/>
  <c r="D66" i="54" s="1"/>
  <c r="B39" i="54"/>
  <c r="D37" i="57" l="1"/>
  <c r="D39" i="57" s="1"/>
  <c r="D52" i="57" s="1"/>
  <c r="D66" i="57" s="1"/>
  <c r="B39" i="57"/>
  <c r="B52" i="54"/>
  <c r="D69" i="54" l="1"/>
  <c r="D70" i="54"/>
  <c r="D69" i="57"/>
  <c r="D70" i="57"/>
  <c r="B52" i="57"/>
  <c r="D71" i="54" l="1"/>
  <c r="D76" i="54" l="1"/>
  <c r="D74" i="54"/>
  <c r="D75" i="54"/>
  <c r="D71" i="57"/>
  <c r="D74" i="57" l="1"/>
  <c r="D76" i="57"/>
  <c r="D75" i="57"/>
  <c r="D77" i="54"/>
  <c r="D80" i="54" l="1"/>
  <c r="D77" i="57"/>
  <c r="D80" i="57" s="1"/>
  <c r="C7" i="52" s="1"/>
  <c r="E80" i="54" l="1"/>
  <c r="B83" i="54" s="1"/>
  <c r="D83" i="54" s="1"/>
  <c r="E83" i="54" s="1"/>
  <c r="C8" i="52"/>
  <c r="E8" i="52" s="1"/>
  <c r="F8" i="52" s="1"/>
  <c r="G8" i="52" s="1"/>
  <c r="E12" i="52"/>
  <c r="F12" i="52" s="1"/>
  <c r="G12" i="52" s="1"/>
  <c r="E80" i="57"/>
  <c r="B83" i="57" s="1"/>
  <c r="D83" i="57" s="1"/>
  <c r="E83" i="57" s="1"/>
  <c r="E7" i="52"/>
  <c r="F7" i="52" l="1"/>
  <c r="G7" i="52" s="1"/>
  <c r="G14" i="52" s="1"/>
  <c r="E14" i="52" l="1"/>
  <c r="F14" i="52" l="1"/>
</calcChain>
</file>

<file path=xl/sharedStrings.xml><?xml version="1.0" encoding="utf-8"?>
<sst xmlns="http://schemas.openxmlformats.org/spreadsheetml/2006/main" count="1574" uniqueCount="211">
  <si>
    <t>QUADRO RESUMO</t>
  </si>
  <si>
    <t>Posto de trabalho</t>
  </si>
  <si>
    <t>Quantidade</t>
  </si>
  <si>
    <t>Valor mensal (R$)</t>
  </si>
  <si>
    <t>PREÇO GLOBAL:</t>
  </si>
  <si>
    <t>Percentual</t>
  </si>
  <si>
    <t>Despesas administrativas/operacionais</t>
  </si>
  <si>
    <t>ISSQN ou ISS</t>
  </si>
  <si>
    <t>COFINS</t>
  </si>
  <si>
    <t>PIS/PASEP</t>
  </si>
  <si>
    <t>Obs.: Os valores obtidos como quocientes ou por meio de aplicação de taxas percentuais serão truncados na segunda casa decimal, nos termos da Lei Federal nº 9.069/1995, art. 1º, §5º.</t>
  </si>
  <si>
    <t>VALOR</t>
  </si>
  <si>
    <t>-</t>
  </si>
  <si>
    <t>Carga horária de 220h</t>
  </si>
  <si>
    <t>II - COMPOSIÇÃO DA REMUNERAÇÃO</t>
  </si>
  <si>
    <t>QUANTIDADE</t>
  </si>
  <si>
    <t>MEMÓRIA DE CÁLCULO</t>
  </si>
  <si>
    <t>FUNDAMENTO</t>
  </si>
  <si>
    <t>Salário-base</t>
  </si>
  <si>
    <t>TOTAL II</t>
  </si>
  <si>
    <t>(soma)</t>
  </si>
  <si>
    <t>III - ENCARGOS SOCIAIS E TRABALHISTAS</t>
  </si>
  <si>
    <t>GRUPO III-A - Encargos previdenciários, FGTS e outras contribuições</t>
  </si>
  <si>
    <t>PERCENTUAL</t>
  </si>
  <si>
    <t>A.01 INSS</t>
  </si>
  <si>
    <t>20,000% * TOTAL II</t>
  </si>
  <si>
    <t>Art. 22, inciso I da Lei nº 8.212/91</t>
  </si>
  <si>
    <t>A.02 FGTS</t>
  </si>
  <si>
    <t>8,000% * TOTAL II</t>
  </si>
  <si>
    <t>A.03 SESI/SESC</t>
  </si>
  <si>
    <t>1,500% * TOTAL II</t>
  </si>
  <si>
    <t>Art. 30, Lei 8.036/90.</t>
  </si>
  <si>
    <t>A.04 SENAI/SENAC</t>
  </si>
  <si>
    <t>1,000% * TOTAL II</t>
  </si>
  <si>
    <t>Decreto 2.318/86.</t>
  </si>
  <si>
    <t>A.05 INCRA</t>
  </si>
  <si>
    <t>0,200% * TOTAL II</t>
  </si>
  <si>
    <t>Lei 7.787/89 e DL 1.146/70.</t>
  </si>
  <si>
    <t>A.06 SEBRAE</t>
  </si>
  <si>
    <t>0,600% * TOTAL II</t>
  </si>
  <si>
    <t>Art. 8º, Lei 8.029/90, e Lei 8.154/90.</t>
  </si>
  <si>
    <t>A.07 Salário educação</t>
  </si>
  <si>
    <t>2,500% * TOTAL II</t>
  </si>
  <si>
    <t>Art. 3º, I, Decreto 87.043/82.</t>
  </si>
  <si>
    <t>A.08 Riscos ambientais do trabalho - RAT x FAP</t>
  </si>
  <si>
    <t>%(RAT*FAP) * TOTAL II</t>
  </si>
  <si>
    <t>TOTAL III-A</t>
  </si>
  <si>
    <t>B.01 13º salário</t>
  </si>
  <si>
    <t>Art. 7º, VIII, CF/88.</t>
  </si>
  <si>
    <t>TOTAL III-B</t>
  </si>
  <si>
    <t>GRUPO III-C - Custo de reposição do profissional ausente</t>
  </si>
  <si>
    <t>C.01 Férias</t>
  </si>
  <si>
    <t>Art. 19 a 23 da Lei, 8.213/91.</t>
  </si>
  <si>
    <t>Art. 473, CLT.</t>
  </si>
  <si>
    <t>Art. 6º e 201, CF/88, 392 CLT.</t>
  </si>
  <si>
    <t>TOTAL III-C</t>
  </si>
  <si>
    <t>GRUPO III-D - Provisão para a rescisão</t>
  </si>
  <si>
    <t>D.01 Aviso prévio indenizado¹</t>
  </si>
  <si>
    <t>Art. 7º, XXI, CF/88, 477,487 e 491 CLT.</t>
  </si>
  <si>
    <t>D.02 FGTS sobre aviso prévio indenizado</t>
  </si>
  <si>
    <t>Súmula 305 do TST.</t>
  </si>
  <si>
    <t>Art. 7º, XXI, CF/88, 477, 487 e 491 CLT.</t>
  </si>
  <si>
    <t>TOTAL III-D</t>
  </si>
  <si>
    <t>TOTAL III</t>
  </si>
  <si>
    <t>TOTAL III-A + TOTAL III-B + TOTAL III-C + TOTAL III-D</t>
  </si>
  <si>
    <t>(-0,06*Salário)</t>
  </si>
  <si>
    <t>TOTAL 1: TOTAL DA REMUNERAÇÃO + ENCARGOS SOCIAIS + INSUMOS</t>
  </si>
  <si>
    <t>TOTAL II  + TOTAL III + TOTAL IV</t>
  </si>
  <si>
    <t>TOTAL V</t>
  </si>
  <si>
    <t>VI - TRIBUTAÇÃO SOBRE O FATURAMENTO</t>
  </si>
  <si>
    <t>TOTAL VI</t>
  </si>
  <si>
    <t>CUSTO POR PROFISSIONAL</t>
  </si>
  <si>
    <t>MENSAL</t>
  </si>
  <si>
    <t>ANUAL</t>
  </si>
  <si>
    <t>(TOTAL 1 + TOTAL V + TOTAL VI)</t>
  </si>
  <si>
    <t>Plano de saúde</t>
  </si>
  <si>
    <t>Encargos sociais incidentes sobre a remuneração</t>
  </si>
  <si>
    <t>Tributação sobre o faturamento</t>
  </si>
  <si>
    <t>Valor</t>
  </si>
  <si>
    <t>Art. 7º, XVII, CF/88 e arts. 129 a 153 da CLT.</t>
  </si>
  <si>
    <t>B.02 Incidência dos encargos do grupo A sobre o 13º</t>
  </si>
  <si>
    <t>C.02 Adicional de férias</t>
  </si>
  <si>
    <t>GRUPO III-B - 13º salário</t>
  </si>
  <si>
    <t>Art. 15, da Lei 8.036/90, e o art. 214 do Decreto 3.048/1999</t>
  </si>
  <si>
    <t>Art. 18, § 1º, Lei 8.036/90 e Art. 1º, Lei Complementar 110.</t>
  </si>
  <si>
    <t>Vale-transporte</t>
  </si>
  <si>
    <t>Desconto legal sobre transporte (máximo de 6% do salário-base)</t>
  </si>
  <si>
    <t>Art. 9º, Lei 7.238/84</t>
  </si>
  <si>
    <t>(1/12) * TOTAL II</t>
  </si>
  <si>
    <t>%TOTAL III-A * %B.01 * TOTAL II</t>
  </si>
  <si>
    <t>Art. 4º, parágrafo único, Lei 7.418/85.</t>
  </si>
  <si>
    <t>Art. 239, CF/88</t>
  </si>
  <si>
    <t>Art. 195, CF/88 e Lei Complementar 70/91</t>
  </si>
  <si>
    <t>Art. 156, III, CF/88</t>
  </si>
  <si>
    <t>Benefícios impostos pela legislação vigente, ACT ou CCT, não previstos na planilha</t>
  </si>
  <si>
    <t>(1/3)/12 * TOTAL II</t>
  </si>
  <si>
    <t>TOTAL IV</t>
  </si>
  <si>
    <t>((TOTAL 1 + TOTAL V)/(1-(ISS + COFINS + PIS/PASEP)))*alíquota</t>
  </si>
  <si>
    <t>Lucro</t>
  </si>
  <si>
    <t>(5,96/30)/12 * TOTAL II</t>
  </si>
  <si>
    <t>Bonificação e outras despesas</t>
  </si>
  <si>
    <t>(2,96/30)/12 * TOTAL II</t>
  </si>
  <si>
    <r>
      <t>D.03 Indenização</t>
    </r>
    <r>
      <rPr>
        <vertAlign val="superscript"/>
        <sz val="10"/>
        <rFont val="Arial"/>
        <family val="2"/>
      </rPr>
      <t>2</t>
    </r>
  </si>
  <si>
    <r>
      <t>D.04 Indenização adicional</t>
    </r>
    <r>
      <rPr>
        <vertAlign val="superscript"/>
        <sz val="10"/>
        <rFont val="Arial"/>
        <family val="2"/>
      </rPr>
      <t>3</t>
    </r>
  </si>
  <si>
    <r>
      <t>D.05 FGTS sobre afastamento superior a 15 dias por acidente de trabalho</t>
    </r>
    <r>
      <rPr>
        <vertAlign val="superscript"/>
        <sz val="10"/>
        <rFont val="Arial"/>
        <family val="2"/>
      </rPr>
      <t>4</t>
    </r>
  </si>
  <si>
    <t>Súmula 159 do TST.</t>
  </si>
  <si>
    <r>
      <t>C.03 Insumos e benefícios</t>
    </r>
    <r>
      <rPr>
        <vertAlign val="superscript"/>
        <sz val="10"/>
        <rFont val="Arial"/>
        <family val="2"/>
      </rPr>
      <t>1</t>
    </r>
  </si>
  <si>
    <r>
      <t>C.04 Ausência por doença</t>
    </r>
    <r>
      <rPr>
        <vertAlign val="superscript"/>
        <sz val="10"/>
        <rFont val="Arial"/>
        <family val="2"/>
      </rPr>
      <t>2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</si>
  <si>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Estima-se de 5,96 dias de licença por ano.</t>
    </r>
  </si>
  <si>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>Estima-se de 2,96 ausências por ano.</t>
    </r>
  </si>
  <si>
    <r>
      <rPr>
        <vertAlign val="superscript"/>
        <sz val="9"/>
        <rFont val="Arial"/>
        <family val="2"/>
      </rPr>
      <t>6</t>
    </r>
    <r>
      <rPr>
        <sz val="9"/>
        <rFont val="Arial"/>
        <family val="2"/>
      </rPr>
      <t>Redução de 7 dias ou de 2h por dia. Percentual relativo a contrato de 12 meses.</t>
    </r>
  </si>
  <si>
    <r>
      <t>C.05 Auxílio doença acidentário</t>
    </r>
    <r>
      <rPr>
        <vertAlign val="superscript"/>
        <sz val="10"/>
        <rFont val="Arial"/>
        <family val="2"/>
      </rPr>
      <t>3</t>
    </r>
  </si>
  <si>
    <r>
      <t>C.06 Faltas legais</t>
    </r>
    <r>
      <rPr>
        <vertAlign val="superscript"/>
        <sz val="10"/>
        <rFont val="Arial"/>
        <family val="2"/>
      </rPr>
      <t>4</t>
    </r>
  </si>
  <si>
    <r>
      <t>C.07 Licença paternidade</t>
    </r>
    <r>
      <rPr>
        <vertAlign val="superscript"/>
        <sz val="10"/>
        <rFont val="Arial"/>
        <family val="2"/>
      </rPr>
      <t>5</t>
    </r>
  </si>
  <si>
    <r>
      <t>C.08 Aviso prévio trabalhado</t>
    </r>
    <r>
      <rPr>
        <vertAlign val="superscript"/>
        <sz val="10"/>
        <rFont val="Arial"/>
        <family val="2"/>
      </rPr>
      <t>6</t>
    </r>
  </si>
  <si>
    <r>
      <t>C.09 Afastamento maternidade</t>
    </r>
    <r>
      <rPr>
        <vertAlign val="superscript"/>
        <sz val="10"/>
        <rFont val="Arial"/>
        <family val="2"/>
      </rPr>
      <t>7</t>
    </r>
  </si>
  <si>
    <t>C.10 Incidência dos encargos do grupo A sobre itens anteriores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</si>
  <si>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Referentes unicamente à substituição por motivo de férias</t>
    </r>
  </si>
  <si>
    <t>C.11 Incidência dos encargos do grupo A sobre a remuneração do afastamento maternidade</t>
  </si>
  <si>
    <t>V - BONIFICAÇÃO E OUTRAS DESPESAS</t>
  </si>
  <si>
    <t>%TOTAL III-A * C.09 * TOTAL II</t>
  </si>
  <si>
    <t xml:space="preserve"> (1/12)* % estimado de ocorrência * TOTAL II</t>
  </si>
  <si>
    <t xml:space="preserve"> (1/12) * % estimado de ocorrência *TOTAL II</t>
  </si>
  <si>
    <t>0,08 * %C.05</t>
  </si>
  <si>
    <t>%TOTAL III-A * %(C.01+C.02+C.04+C.05+C.06+C.07+C.08) * TOTAL II</t>
  </si>
  <si>
    <t>Valor mensal do plano de saúde</t>
  </si>
  <si>
    <t>Taxa de adesão individual ao plano de saúde</t>
  </si>
  <si>
    <t xml:space="preserve"> 0,4 * 0,08 * TOTAL II</t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</si>
  <si>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Multa de 40% do FGTS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</si>
  <si>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Multa de 40% do FGTS </t>
    </r>
  </si>
  <si>
    <t>Outros benefícios obrigatórios</t>
  </si>
  <si>
    <t>RAT x FAP</t>
  </si>
  <si>
    <t>DETALHAMENTO DAS DESPESAS ADMINISTRATIVAS/OPERACIONAIS</t>
  </si>
  <si>
    <t>Percentual (%)</t>
  </si>
  <si>
    <t>TOTAL DAS DESPESAS ADMINISTRATIVAS/OPERACIONAIS</t>
  </si>
  <si>
    <t>Detalhada na aba CUSTOS DE VALOR SUBJETIVO</t>
  </si>
  <si>
    <t>Despesas advindas diretamente da prestação dos serviços e passíveis de serem repassadas ao BDMG</t>
  </si>
  <si>
    <t xml:space="preserve"> (1/12) * 0,055* 0,08 * TOTAL II</t>
  </si>
  <si>
    <r>
      <t>1</t>
    </r>
    <r>
      <rPr>
        <sz val="9"/>
        <rFont val="Arial"/>
        <family val="2"/>
      </rPr>
      <t>Estima-se que 5,5% dos empregados receberão o aviso prévio indenizado</t>
    </r>
  </si>
  <si>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Considerando que 1% dos empregados serão demitidos com indenização adicional.</t>
    </r>
  </si>
  <si>
    <r>
      <t>3</t>
    </r>
    <r>
      <rPr>
        <sz val="9"/>
        <rFont val="Arial"/>
        <family val="2"/>
      </rPr>
      <t>Considerando que 1% dos empregados serão demitidos com indenização adicional..</t>
    </r>
  </si>
  <si>
    <r>
      <t>1</t>
    </r>
    <r>
      <rPr>
        <sz val="9"/>
        <rFont val="Arial"/>
        <family val="2"/>
      </rPr>
      <t>Estima-se que 5,55% dos empregados receberão o aviso prévio indenizado.</t>
    </r>
  </si>
  <si>
    <t xml:space="preserve"> (1/12) * 0,0555 * TOTAL II</t>
  </si>
  <si>
    <t>(1/12) * 0,0555 * TOTAL II</t>
  </si>
  <si>
    <t>[(7/30)/12] * 0,9445 * TOTAL II</t>
  </si>
  <si>
    <t>[(7/30)/12] * 0,9445 *TOTAL II</t>
  </si>
  <si>
    <t xml:space="preserve"> (1/12) * 0,0555* 0,08 * TOTAL II</t>
  </si>
  <si>
    <r>
      <t>4</t>
    </r>
    <r>
      <rPr>
        <sz val="9"/>
        <rFont val="Arial"/>
        <family val="2"/>
      </rPr>
      <t>Estimativa de que 0,64% dos empregados fruem do auxílio doença acidentário por período médio de 30 dias.</t>
    </r>
  </si>
  <si>
    <t xml:space="preserve">TOTAL DE OUTROS BENEFÍCIOS OBRIGATÓRIOS </t>
  </si>
  <si>
    <t xml:space="preserve">OUTROS BENEFÍCIOS OBRIGATÓRIOS </t>
  </si>
  <si>
    <t>(TOTAL IV - vale transporte)/12</t>
  </si>
  <si>
    <t>GRUPO IV- Benefícios mensais e diários</t>
  </si>
  <si>
    <t>GRUPO IV - Benefícios mensais e diários</t>
  </si>
  <si>
    <t xml:space="preserve">IV - INSUMOS E BENEFÍCIOS </t>
  </si>
  <si>
    <t>IV - INSUMOS E BENEFÍCIOS</t>
  </si>
  <si>
    <t>I - SALÁRIO BASE DO(A) PROFISSIONAL</t>
  </si>
  <si>
    <t>Art. 7º, XIX, CF/88 e art. 473, III, CLT.</t>
  </si>
  <si>
    <t>Art. 59 a 63, Lei 8.213/91.</t>
  </si>
  <si>
    <t>Art. 15, §5° da Lei n. 8.036/1990</t>
  </si>
  <si>
    <t>Vale alimentação/refeição¹</t>
  </si>
  <si>
    <t>Art. 15, Lei N° 8.036/36 e  Art. 7º , III da CR/88.</t>
  </si>
  <si>
    <t>Art. 8º, Lei 8.029/90 e Lei 8.154/90.</t>
  </si>
  <si>
    <t>Art. 22, inciso II, Lei nº 8.212/91</t>
  </si>
  <si>
    <t>Art. 15, da Lei 8.036/90 e o art. 214 do Decreto 3.048/1999</t>
  </si>
  <si>
    <t>Art. 15, Lei N° 8.036/36 e  Art. 7º , III da CF/88.</t>
  </si>
  <si>
    <t>Art. 6º e 201, CF/88 e art. 392 CLT.</t>
  </si>
  <si>
    <t>Consideradados o empregado e dois dependentes</t>
  </si>
  <si>
    <t>¹Baseado na mediana dos valores praticados pelo BDMG e na CCT SEAC/SINDEAC 2023. Esse valor é mínimo aceitável e não poderá ser reduzido. Caso seja necessária complementação, em razão de ACT/CCT ou legislação que vincule o licitante, o valor complementar deve ser incluído pelo campo Outros benefícios obrigatórios.</t>
  </si>
  <si>
    <r>
      <t>Vale alimentação/refeição</t>
    </r>
    <r>
      <rPr>
        <vertAlign val="superscript"/>
        <sz val="10"/>
        <rFont val="Arial"/>
        <family val="2"/>
      </rPr>
      <t>1</t>
    </r>
  </si>
  <si>
    <t>JUSTIFICATIVA</t>
  </si>
  <si>
    <t>Auxiliar administrativo</t>
  </si>
  <si>
    <t>CUSTO POR PROFISSIONAL NOS CINCO ANOS DE VIGÊNCIA CONTRATUAL</t>
  </si>
  <si>
    <t>CUSTO ANUAL POR PROFISSIONAL</t>
  </si>
  <si>
    <t>VALOR GLOBAL</t>
  </si>
  <si>
    <t>Custo total unitário mensal (R$)</t>
  </si>
  <si>
    <t>Salário-base
(R$)</t>
  </si>
  <si>
    <t>Valor anual
(R$)</t>
  </si>
  <si>
    <t>Valor total
(R$)</t>
  </si>
  <si>
    <t>Outros insumos</t>
  </si>
  <si>
    <t>Insumos eventualmente não previstos na planilha necessários ao cumprimento do objeto.</t>
  </si>
  <si>
    <t>DETALHAMENTO - COMPOSIÇÃO DOS CAMPOS OUTROS INSUMOS, OUTROS BENEFÍCIOS OBRIGATÓRIOS,  E DESPESAS ADMINISTRATIVAS/OPERACIONAIS</t>
  </si>
  <si>
    <t>OUTROS INSUMOS</t>
  </si>
  <si>
    <t>VALOR ANUAL</t>
  </si>
  <si>
    <t>TOTAL DE OUTROS INSUMOS</t>
  </si>
  <si>
    <t>V ALOR ANUAL</t>
  </si>
  <si>
    <t>Baseado no preço médio de uma refeição de 500g  nos restaurantes próximos à sede do BDMG</t>
  </si>
  <si>
    <t>Mediana das tarifas expressas na PORTARIA SUMOB N° 074/2023, 2 passagens de ida e 2 de volta, 22 dias.</t>
  </si>
  <si>
    <t>Assistente administrativo e contábil I</t>
  </si>
  <si>
    <t>Assistente administrativo e contábil II</t>
  </si>
  <si>
    <t>Encarregado de compras e contratos</t>
  </si>
  <si>
    <t>Encarregado de fiscalização</t>
  </si>
  <si>
    <t>Assistente de compras e contratos I</t>
  </si>
  <si>
    <t>Assistente de compras e contratos II</t>
  </si>
  <si>
    <r>
      <rPr>
        <vertAlign val="superscript"/>
        <sz val="9"/>
        <rFont val="Arial"/>
        <family val="2"/>
      </rPr>
      <t>7</t>
    </r>
    <r>
      <rPr>
        <sz val="9"/>
        <rFont val="Arial"/>
        <family val="2"/>
      </rPr>
      <t>Tendo em conta a taxa de natalidade de 1,092% e o percentual de mulheres empregadas de 44,3%</t>
    </r>
  </si>
  <si>
    <r>
      <t>7</t>
    </r>
    <r>
      <rPr>
        <sz val="9"/>
        <rFont val="Arial"/>
        <family val="2"/>
      </rPr>
      <t>Tendo em conta a taxa de natalidade de 1,092% e o percentual de mulheres empregadas de 44,3%</t>
    </r>
  </si>
  <si>
    <r>
      <rPr>
        <vertAlign val="superscript"/>
        <sz val="9"/>
        <rFont val="Arial"/>
        <family val="2"/>
      </rPr>
      <t>5</t>
    </r>
    <r>
      <rPr>
        <sz val="9"/>
        <rFont val="Arial"/>
        <family val="2"/>
      </rPr>
      <t>Tendo em vista a taxa de natalidade de 1,092% e o percentual de homens empregados de 55,7%</t>
    </r>
  </si>
  <si>
    <r>
      <t>5</t>
    </r>
    <r>
      <rPr>
        <sz val="9"/>
        <rFont val="Arial"/>
        <family val="2"/>
      </rPr>
      <t>Tendo em vista a taxa de natalidade de 1,092% e o percentual de homens empregados de 55,7%</t>
    </r>
  </si>
  <si>
    <t>[(5/30)/12] * 0,557* 0,01092 * TOTAL II</t>
  </si>
  <si>
    <t>[(Férias + adicional de férias)/12 + (TOTAL IV - vale transporte)] * (4/12) * 0,01092 * 0,443</t>
  </si>
  <si>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Estima-se que 0,743% dos empregados alocados fruirão o benefício</t>
    </r>
  </si>
  <si>
    <r>
      <t>3</t>
    </r>
    <r>
      <rPr>
        <sz val="9"/>
        <rFont val="Arial"/>
        <family val="2"/>
      </rPr>
      <t>Estima-se que 0,743% dos empregados alocados fruirão o benefício</t>
    </r>
  </si>
  <si>
    <t>((15/30)/12)* 0,00743 * TOTAL II</t>
  </si>
  <si>
    <t xml:space="preserve">(CUSTO ANUAL POR PROFISSIONAL) * 5 </t>
  </si>
  <si>
    <t>Custo pelo equipamento utilizado no regime de teletrabalho</t>
  </si>
  <si>
    <t>Informado na aba Quadro Resumo</t>
  </si>
  <si>
    <t>VALOR GLOBAL POR PROFISSIONAL</t>
  </si>
  <si>
    <t>(CUSTO ANUAL POR PROFISSIONAL) * 5 +custo pelo equipamento utilizado no regime de teletrabalho</t>
  </si>
  <si>
    <t>EQUIPAMENTO PARA UTILIZAÇÃO POR CADA EMPREGADO, NO REGIME DE TELETRABALHO</t>
  </si>
  <si>
    <t>configuração mínima por equipamento: processador Intel i5 10ª geração, Memória de 8 GB RAM Monitor de 15 polegadas (1366x768), SSD 240 GB, Saída HDMI, 2 USB, Wireless 802.11ac, Bluetooth, Câmera 720p, fone de ouvido, e Windows 11</t>
  </si>
  <si>
    <t>,</t>
  </si>
  <si>
    <t>Valor total por empregado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</si>
</sst>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R$&quot;\ #,##0.00_);[Red]\(&quot;R$&quot;\ #,##0.00\)"/>
    <numFmt numFmtId="44" formatCode="_(&quot;R$&quot;\ * #,##0.00_);_(&quot;R$&quot;\ * \(#,##0.00\);_(&quot;R$&quot;\ * &quot;-&quot;??_);_(@_)"/>
    <numFmt numFmtId="43" formatCode="_(* #,##0.00_);_(* \(#,##0.00\);_(* &quot;-&quot;??_);_(@_)"/>
    <numFmt numFmtId="165" formatCode="_-&quot;R$&quot;\ * #,##0.00_-;\-&quot;R$&quot;\ * #,##0.00_-;_-&quot;R$&quot;\ * &quot;-&quot;??_-;_-@_-"/>
    <numFmt numFmtId="166" formatCode="#,##0.000_);[Red]\(#,##0.000\)"/>
    <numFmt numFmtId="167" formatCode="0.0000%"/>
    <numFmt numFmtId="168" formatCode="&quot;R$&quot;\ #,##0.00"/>
    <numFmt numFmtId="170" formatCode="&quot;R$&quot;#,##0.0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u/>
      <sz val="12"/>
      <name val="Arial Black"/>
      <family val="2"/>
    </font>
    <font>
      <b/>
      <sz val="12"/>
      <name val="Arial"/>
      <family val="2"/>
    </font>
    <font>
      <b/>
      <i/>
      <sz val="12"/>
      <name val="Arial Black"/>
      <family val="2"/>
    </font>
    <font>
      <b/>
      <sz val="12"/>
      <color rgb="FFFF0000"/>
      <name val="Arial"/>
      <family val="2"/>
    </font>
    <font>
      <b/>
      <i/>
      <sz val="12"/>
      <color rgb="FFFF0000"/>
      <name val="Arial"/>
      <family val="2"/>
    </font>
    <font>
      <b/>
      <i/>
      <sz val="9"/>
      <color rgb="FFFF000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8.5"/>
      <name val="Arial"/>
      <family val="2"/>
    </font>
    <font>
      <b/>
      <i/>
      <sz val="10"/>
      <color rgb="FFFF0000"/>
      <name val="Arial"/>
      <family val="2"/>
    </font>
    <font>
      <b/>
      <u/>
      <sz val="10"/>
      <name val="Arial"/>
      <family val="2"/>
    </font>
    <font>
      <b/>
      <u/>
      <sz val="12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D9F1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rgb="FFC0C0C0"/>
      </left>
      <right style="double">
        <color rgb="FFC0C0C0"/>
      </right>
      <top style="double">
        <color indexed="64"/>
      </top>
      <bottom style="double">
        <color rgb="FFC0C0C0"/>
      </bottom>
      <diagonal/>
    </border>
    <border>
      <left style="double">
        <color indexed="64"/>
      </left>
      <right/>
      <top/>
      <bottom/>
      <diagonal/>
    </border>
    <border>
      <left style="double">
        <color rgb="FFC0C0C0"/>
      </left>
      <right style="double">
        <color rgb="FFC0C0C0"/>
      </right>
      <top/>
      <bottom style="double">
        <color rgb="FFC0C0C0"/>
      </bottom>
      <diagonal/>
    </border>
    <border>
      <left/>
      <right style="double">
        <color rgb="FFC0C0C0"/>
      </right>
      <top/>
      <bottom style="double">
        <color rgb="FFC0C0C0"/>
      </bottom>
      <diagonal/>
    </border>
    <border>
      <left style="double">
        <color rgb="FFC0C0C0"/>
      </left>
      <right style="double">
        <color rgb="FFC0C0C0"/>
      </right>
      <top style="double">
        <color rgb="FFC0C0C0"/>
      </top>
      <bottom style="double">
        <color indexed="64"/>
      </bottom>
      <diagonal/>
    </border>
    <border>
      <left style="double">
        <color rgb="FFC0C0C0"/>
      </left>
      <right/>
      <top style="double">
        <color indexed="64"/>
      </top>
      <bottom style="double">
        <color rgb="FFC0C0C0"/>
      </bottom>
      <diagonal/>
    </border>
    <border>
      <left/>
      <right/>
      <top/>
      <bottom style="double">
        <color rgb="FFC0C0C0"/>
      </bottom>
      <diagonal/>
    </border>
    <border>
      <left style="double">
        <color rgb="FFC0C0C0"/>
      </left>
      <right style="double">
        <color rgb="FFC0C0C0"/>
      </right>
      <top style="double">
        <color indexed="64"/>
      </top>
      <bottom/>
      <diagonal/>
    </border>
    <border>
      <left style="double">
        <color rgb="FFC0C0C0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rgb="FFC0C0C0"/>
      </left>
      <right style="double">
        <color indexed="64"/>
      </right>
      <top style="double">
        <color indexed="64"/>
      </top>
      <bottom/>
      <diagonal/>
    </border>
    <border>
      <left style="double">
        <color rgb="FFC0C0C0"/>
      </left>
      <right style="double">
        <color rgb="FFC0C0C0"/>
      </right>
      <top/>
      <bottom style="double">
        <color indexed="64"/>
      </bottom>
      <diagonal/>
    </border>
    <border>
      <left style="double">
        <color rgb="FFC0C0C0"/>
      </left>
      <right style="double">
        <color theme="1"/>
      </right>
      <top style="double">
        <color indexed="64"/>
      </top>
      <bottom style="double">
        <color rgb="FFC0C0C0"/>
      </bottom>
      <diagonal/>
    </border>
    <border>
      <left style="double">
        <color rgb="FFC0C0C0"/>
      </left>
      <right style="double">
        <color theme="1"/>
      </right>
      <top/>
      <bottom style="double">
        <color rgb="FFC0C0C0"/>
      </bottom>
      <diagonal/>
    </border>
    <border>
      <left style="double">
        <color rgb="FFC0C0C0"/>
      </left>
      <right style="double">
        <color theme="1"/>
      </right>
      <top/>
      <bottom style="double">
        <color indexed="64"/>
      </bottom>
      <diagonal/>
    </border>
    <border>
      <left style="double">
        <color theme="1"/>
      </left>
      <right style="double">
        <color rgb="FFC0C0C0"/>
      </right>
      <top style="double">
        <color indexed="64"/>
      </top>
      <bottom style="double">
        <color theme="1"/>
      </bottom>
      <diagonal/>
    </border>
    <border>
      <left/>
      <right style="double">
        <color theme="1"/>
      </right>
      <top style="double">
        <color indexed="64"/>
      </top>
      <bottom style="double">
        <color theme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rgb="FFC0C0C0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</cellStyleXfs>
  <cellXfs count="243">
    <xf numFmtId="0" fontId="0" fillId="0" borderId="0" xfId="0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43" fontId="4" fillId="3" borderId="9" xfId="2" applyFont="1" applyFill="1" applyBorder="1" applyAlignment="1" applyProtection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vertical="center"/>
    </xf>
    <xf numFmtId="166" fontId="4" fillId="3" borderId="18" xfId="1" applyNumberFormat="1" applyFont="1" applyFill="1" applyBorder="1" applyAlignment="1" applyProtection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vertical="center" wrapText="1"/>
    </xf>
    <xf numFmtId="0" fontId="4" fillId="3" borderId="21" xfId="0" applyFont="1" applyFill="1" applyBorder="1" applyAlignment="1">
      <alignment vertical="center"/>
    </xf>
    <xf numFmtId="0" fontId="4" fillId="3" borderId="22" xfId="0" applyFont="1" applyFill="1" applyBorder="1" applyAlignment="1">
      <alignment vertical="center"/>
    </xf>
    <xf numFmtId="166" fontId="4" fillId="3" borderId="23" xfId="1" applyNumberFormat="1" applyFont="1" applyFill="1" applyBorder="1" applyAlignment="1" applyProtection="1">
      <alignment horizontal="center" vertical="center"/>
    </xf>
    <xf numFmtId="0" fontId="4" fillId="0" borderId="17" xfId="0" applyFont="1" applyBorder="1" applyAlignment="1">
      <alignment vertical="center" wrapText="1"/>
    </xf>
    <xf numFmtId="166" fontId="4" fillId="0" borderId="18" xfId="1" applyNumberFormat="1" applyFont="1" applyFill="1" applyBorder="1" applyAlignment="1" applyProtection="1">
      <alignment horizontal="center"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5" fillId="0" borderId="0" xfId="0" applyFont="1"/>
    <xf numFmtId="4" fontId="9" fillId="0" borderId="25" xfId="0" applyNumberFormat="1" applyFont="1" applyBorder="1" applyAlignment="1">
      <alignment horizontal="center" vertical="center"/>
    </xf>
    <xf numFmtId="4" fontId="4" fillId="3" borderId="6" xfId="0" applyNumberFormat="1" applyFont="1" applyFill="1" applyBorder="1" applyAlignment="1">
      <alignment horizontal="center" vertical="center"/>
    </xf>
    <xf numFmtId="4" fontId="4" fillId="3" borderId="23" xfId="1" applyNumberFormat="1" applyFont="1" applyFill="1" applyBorder="1" applyAlignment="1" applyProtection="1">
      <alignment horizontal="center" vertical="center"/>
    </xf>
    <xf numFmtId="4" fontId="5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68" fontId="4" fillId="0" borderId="10" xfId="2" applyNumberFormat="1" applyFont="1" applyFill="1" applyBorder="1" applyAlignment="1" applyProtection="1">
      <alignment horizontal="center" vertical="center"/>
    </xf>
    <xf numFmtId="168" fontId="4" fillId="3" borderId="18" xfId="2" applyNumberFormat="1" applyFont="1" applyFill="1" applyBorder="1" applyAlignment="1" applyProtection="1">
      <alignment horizontal="center" vertical="center"/>
    </xf>
    <xf numFmtId="167" fontId="4" fillId="3" borderId="9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top"/>
    </xf>
    <xf numFmtId="10" fontId="3" fillId="0" borderId="0" xfId="1" applyNumberFormat="1" applyFont="1" applyBorder="1" applyAlignment="1" applyProtection="1">
      <alignment vertical="center"/>
    </xf>
    <xf numFmtId="43" fontId="3" fillId="0" borderId="0" xfId="0" applyNumberFormat="1" applyFont="1" applyAlignment="1">
      <alignment vertical="center"/>
    </xf>
    <xf numFmtId="167" fontId="3" fillId="0" borderId="1" xfId="1" applyNumberFormat="1" applyFont="1" applyBorder="1" applyAlignment="1" applyProtection="1">
      <alignment horizontal="center" vertical="center"/>
    </xf>
    <xf numFmtId="0" fontId="3" fillId="0" borderId="27" xfId="0" applyFont="1" applyBorder="1"/>
    <xf numFmtId="0" fontId="3" fillId="0" borderId="13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27" xfId="0" applyFont="1" applyBorder="1" applyAlignment="1">
      <alignment vertical="center"/>
    </xf>
    <xf numFmtId="167" fontId="3" fillId="0" borderId="12" xfId="1" applyNumberFormat="1" applyFont="1" applyBorder="1" applyAlignment="1" applyProtection="1">
      <alignment horizontal="center" vertical="center"/>
    </xf>
    <xf numFmtId="166" fontId="3" fillId="0" borderId="16" xfId="1" applyNumberFormat="1" applyFont="1" applyBorder="1" applyAlignment="1" applyProtection="1">
      <alignment horizontal="center" vertical="center"/>
    </xf>
    <xf numFmtId="166" fontId="3" fillId="0" borderId="0" xfId="1" applyNumberFormat="1" applyFont="1" applyBorder="1" applyAlignment="1" applyProtection="1">
      <alignment horizontal="center" vertical="center"/>
    </xf>
    <xf numFmtId="4" fontId="3" fillId="0" borderId="0" xfId="1" applyNumberFormat="1" applyFont="1" applyBorder="1" applyAlignment="1" applyProtection="1">
      <alignment horizontal="center" vertical="center"/>
    </xf>
    <xf numFmtId="166" fontId="3" fillId="0" borderId="27" xfId="1" applyNumberFormat="1" applyFont="1" applyBorder="1" applyAlignment="1" applyProtection="1">
      <alignment horizontal="center" vertical="center"/>
    </xf>
    <xf numFmtId="167" fontId="3" fillId="0" borderId="0" xfId="1" applyNumberFormat="1" applyFont="1" applyBorder="1" applyAlignment="1" applyProtection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167" fontId="3" fillId="0" borderId="1" xfId="1" quotePrefix="1" applyNumberFormat="1" applyFont="1" applyFill="1" applyBorder="1" applyAlignment="1" applyProtection="1">
      <alignment horizontal="center" vertical="center"/>
    </xf>
    <xf numFmtId="167" fontId="3" fillId="0" borderId="0" xfId="1" quotePrefix="1" applyNumberFormat="1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center" vertical="center"/>
    </xf>
    <xf numFmtId="167" fontId="3" fillId="0" borderId="12" xfId="1" quotePrefix="1" applyNumberFormat="1" applyFont="1" applyFill="1" applyBorder="1" applyAlignment="1" applyProtection="1">
      <alignment horizontal="center" vertical="center"/>
    </xf>
    <xf numFmtId="167" fontId="3" fillId="0" borderId="1" xfId="0" quotePrefix="1" applyNumberFormat="1" applyFont="1" applyBorder="1" applyAlignment="1">
      <alignment horizontal="center" vertical="center"/>
    </xf>
    <xf numFmtId="4" fontId="3" fillId="0" borderId="0" xfId="2" applyNumberFormat="1" applyFont="1" applyBorder="1" applyAlignment="1" applyProtection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" fontId="3" fillId="0" borderId="0" xfId="0" applyNumberFormat="1" applyFont="1" applyAlignment="1">
      <alignment horizontal="center"/>
    </xf>
    <xf numFmtId="0" fontId="3" fillId="0" borderId="16" xfId="0" applyFont="1" applyBorder="1" applyAlignment="1">
      <alignment vertical="center"/>
    </xf>
    <xf numFmtId="167" fontId="3" fillId="0" borderId="1" xfId="1" applyNumberFormat="1" applyFont="1" applyFill="1" applyBorder="1" applyAlignment="1" applyProtection="1">
      <alignment horizontal="center" vertical="center"/>
    </xf>
    <xf numFmtId="44" fontId="3" fillId="0" borderId="9" xfId="2" applyNumberFormat="1" applyFont="1" applyBorder="1" applyAlignment="1" applyProtection="1">
      <alignment horizontal="center" vertical="center"/>
    </xf>
    <xf numFmtId="44" fontId="3" fillId="0" borderId="1" xfId="2" applyNumberFormat="1" applyFont="1" applyFill="1" applyBorder="1" applyAlignment="1" applyProtection="1">
      <alignment horizontal="center" vertical="center"/>
    </xf>
    <xf numFmtId="44" fontId="4" fillId="3" borderId="9" xfId="0" applyNumberFormat="1" applyFont="1" applyFill="1" applyBorder="1" applyAlignment="1">
      <alignment horizontal="center" vertical="center"/>
    </xf>
    <xf numFmtId="44" fontId="3" fillId="0" borderId="1" xfId="2" applyNumberFormat="1" applyFont="1" applyBorder="1" applyAlignment="1" applyProtection="1">
      <alignment horizontal="center" vertical="center"/>
    </xf>
    <xf numFmtId="44" fontId="4" fillId="3" borderId="9" xfId="2" applyNumberFormat="1" applyFont="1" applyFill="1" applyBorder="1" applyAlignment="1" applyProtection="1">
      <alignment horizontal="center" vertical="center"/>
    </xf>
    <xf numFmtId="44" fontId="3" fillId="0" borderId="12" xfId="2" applyNumberFormat="1" applyFont="1" applyBorder="1" applyAlignment="1" applyProtection="1">
      <alignment horizontal="center" vertical="center"/>
    </xf>
    <xf numFmtId="0" fontId="15" fillId="6" borderId="16" xfId="0" applyFont="1" applyFill="1" applyBorder="1" applyAlignment="1">
      <alignment horizontal="left" vertical="top" wrapText="1"/>
    </xf>
    <xf numFmtId="0" fontId="15" fillId="0" borderId="16" xfId="0" applyFont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3" borderId="31" xfId="0" quotePrefix="1" applyFont="1" applyFill="1" applyBorder="1" applyAlignment="1">
      <alignment horizontal="center" vertical="center"/>
    </xf>
    <xf numFmtId="44" fontId="3" fillId="0" borderId="29" xfId="0" quotePrefix="1" applyNumberFormat="1" applyFont="1" applyBorder="1" applyAlignment="1">
      <alignment horizontal="center" vertical="center"/>
    </xf>
    <xf numFmtId="44" fontId="3" fillId="3" borderId="32" xfId="0" quotePrefix="1" applyNumberFormat="1" applyFont="1" applyFill="1" applyBorder="1" applyAlignment="1">
      <alignment horizontal="center" vertical="center"/>
    </xf>
    <xf numFmtId="167" fontId="4" fillId="3" borderId="18" xfId="1" quotePrefix="1" applyNumberFormat="1" applyFont="1" applyFill="1" applyBorder="1" applyAlignment="1" applyProtection="1">
      <alignment horizontal="center" vertical="center"/>
    </xf>
    <xf numFmtId="44" fontId="4" fillId="3" borderId="18" xfId="2" applyNumberFormat="1" applyFont="1" applyFill="1" applyBorder="1" applyAlignment="1" applyProtection="1">
      <alignment horizontal="center" vertical="center"/>
    </xf>
    <xf numFmtId="44" fontId="4" fillId="3" borderId="1" xfId="2" applyNumberFormat="1" applyFont="1" applyFill="1" applyBorder="1" applyAlignment="1" applyProtection="1">
      <alignment horizontal="center" vertical="center"/>
    </xf>
    <xf numFmtId="44" fontId="3" fillId="0" borderId="12" xfId="2" applyNumberFormat="1" applyFont="1" applyFill="1" applyBorder="1" applyAlignment="1" applyProtection="1">
      <alignment horizontal="center" vertical="center"/>
    </xf>
    <xf numFmtId="0" fontId="16" fillId="0" borderId="16" xfId="0" applyFont="1" applyBorder="1" applyAlignment="1">
      <alignment horizontal="left" vertical="top" wrapText="1"/>
    </xf>
    <xf numFmtId="0" fontId="3" fillId="0" borderId="20" xfId="0" applyFont="1" applyBorder="1" applyAlignment="1">
      <alignment vertical="top"/>
    </xf>
    <xf numFmtId="0" fontId="15" fillId="0" borderId="0" xfId="0" applyFont="1" applyAlignment="1">
      <alignment vertical="top"/>
    </xf>
    <xf numFmtId="168" fontId="4" fillId="0" borderId="18" xfId="2" applyNumberFormat="1" applyFont="1" applyFill="1" applyBorder="1" applyAlignment="1" applyProtection="1">
      <alignment horizontal="center" vertical="center"/>
    </xf>
    <xf numFmtId="167" fontId="3" fillId="0" borderId="12" xfId="0" quotePrefix="1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left" vertical="top"/>
    </xf>
    <xf numFmtId="0" fontId="15" fillId="0" borderId="34" xfId="0" applyFont="1" applyBorder="1" applyAlignment="1">
      <alignment horizontal="left" vertical="top"/>
    </xf>
    <xf numFmtId="0" fontId="16" fillId="0" borderId="20" xfId="0" applyFont="1" applyBorder="1" applyAlignment="1">
      <alignment vertical="top"/>
    </xf>
    <xf numFmtId="0" fontId="1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68" fontId="18" fillId="2" borderId="1" xfId="3" applyNumberFormat="1" applyFont="1" applyFill="1" applyBorder="1" applyAlignment="1" applyProtection="1">
      <alignment horizontal="center" vertical="center"/>
      <protection locked="0"/>
    </xf>
    <xf numFmtId="8" fontId="18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25" fillId="0" borderId="38" xfId="6" applyFont="1" applyBorder="1" applyAlignment="1" applyProtection="1">
      <alignment horizontal="center" vertical="center"/>
      <protection locked="0"/>
    </xf>
    <xf numFmtId="0" fontId="26" fillId="2" borderId="42" xfId="6" applyFont="1" applyFill="1" applyBorder="1" applyAlignment="1" applyProtection="1">
      <alignment vertical="center"/>
      <protection locked="0"/>
    </xf>
    <xf numFmtId="0" fontId="2" fillId="0" borderId="39" xfId="6" applyBorder="1" applyAlignment="1" applyProtection="1">
      <alignment horizontal="center" vertical="center"/>
      <protection locked="0"/>
    </xf>
    <xf numFmtId="0" fontId="26" fillId="2" borderId="40" xfId="7" applyFont="1" applyFill="1" applyBorder="1" applyAlignment="1" applyProtection="1">
      <alignment vertical="center" wrapText="1"/>
      <protection locked="0"/>
    </xf>
    <xf numFmtId="168" fontId="26" fillId="2" borderId="41" xfId="7" applyNumberFormat="1" applyFont="1" applyFill="1" applyBorder="1" applyAlignment="1" applyProtection="1">
      <alignment horizontal="center" vertical="center"/>
      <protection locked="0"/>
    </xf>
    <xf numFmtId="0" fontId="26" fillId="2" borderId="40" xfId="6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25" fillId="8" borderId="45" xfId="6" applyFont="1" applyFill="1" applyBorder="1" applyAlignment="1" applyProtection="1">
      <alignment horizontal="center" vertical="center"/>
      <protection locked="0"/>
    </xf>
    <xf numFmtId="0" fontId="2" fillId="0" borderId="39" xfId="6" applyBorder="1" applyProtection="1">
      <protection locked="0"/>
    </xf>
    <xf numFmtId="0" fontId="25" fillId="0" borderId="38" xfId="6" applyFont="1" applyBorder="1" applyAlignment="1" applyProtection="1">
      <alignment horizontal="center" vertical="center" wrapText="1"/>
      <protection locked="0"/>
    </xf>
    <xf numFmtId="0" fontId="25" fillId="0" borderId="43" xfId="6" applyFont="1" applyBorder="1" applyAlignment="1" applyProtection="1">
      <alignment horizontal="center" vertical="center"/>
      <protection locked="0"/>
    </xf>
    <xf numFmtId="167" fontId="26" fillId="2" borderId="44" xfId="7" applyNumberFormat="1" applyFont="1" applyFill="1" applyBorder="1" applyAlignment="1" applyProtection="1">
      <alignment horizontal="center" vertical="center"/>
      <protection locked="0"/>
    </xf>
    <xf numFmtId="167" fontId="26" fillId="2" borderId="44" xfId="6" applyNumberFormat="1" applyFont="1" applyFill="1" applyBorder="1" applyAlignment="1" applyProtection="1">
      <alignment horizontal="center" vertical="center"/>
      <protection locked="0"/>
    </xf>
    <xf numFmtId="167" fontId="25" fillId="8" borderId="46" xfId="6" applyNumberFormat="1" applyFont="1" applyFill="1" applyBorder="1" applyAlignment="1">
      <alignment horizontal="center" vertical="center"/>
    </xf>
    <xf numFmtId="0" fontId="0" fillId="0" borderId="47" xfId="0" applyBorder="1" applyProtection="1">
      <protection locked="0"/>
    </xf>
    <xf numFmtId="43" fontId="0" fillId="0" borderId="0" xfId="2" applyFont="1" applyProtection="1">
      <protection locked="0"/>
    </xf>
    <xf numFmtId="0" fontId="26" fillId="0" borderId="45" xfId="6" applyFont="1" applyBorder="1" applyAlignment="1" applyProtection="1">
      <alignment vertical="center" wrapText="1"/>
      <protection locked="0"/>
    </xf>
    <xf numFmtId="0" fontId="2" fillId="0" borderId="0" xfId="6" applyAlignment="1" applyProtection="1">
      <alignment horizontal="center" vertical="center"/>
      <protection locked="0"/>
    </xf>
    <xf numFmtId="0" fontId="26" fillId="0" borderId="48" xfId="6" applyFont="1" applyBorder="1" applyAlignment="1" applyProtection="1">
      <alignment horizontal="center" vertical="center"/>
      <protection locked="0"/>
    </xf>
    <xf numFmtId="0" fontId="26" fillId="2" borderId="49" xfId="6" applyFont="1" applyFill="1" applyBorder="1" applyAlignment="1" applyProtection="1">
      <alignment vertical="center" wrapText="1"/>
      <protection locked="0"/>
    </xf>
    <xf numFmtId="0" fontId="25" fillId="7" borderId="50" xfId="6" applyFont="1" applyFill="1" applyBorder="1" applyAlignment="1" applyProtection="1">
      <alignment horizontal="center" vertical="center"/>
      <protection locked="0"/>
    </xf>
    <xf numFmtId="0" fontId="26" fillId="2" borderId="51" xfId="6" applyFont="1" applyFill="1" applyBorder="1" applyAlignment="1" applyProtection="1">
      <alignment vertical="center"/>
      <protection locked="0"/>
    </xf>
    <xf numFmtId="0" fontId="0" fillId="2" borderId="52" xfId="0" applyFill="1" applyBorder="1" applyProtection="1">
      <protection locked="0"/>
    </xf>
    <xf numFmtId="0" fontId="2" fillId="0" borderId="47" xfId="6" applyBorder="1" applyAlignment="1" applyProtection="1">
      <alignment horizontal="center" vertical="center"/>
      <protection locked="0"/>
    </xf>
    <xf numFmtId="0" fontId="25" fillId="8" borderId="53" xfId="6" applyFont="1" applyFill="1" applyBorder="1" applyAlignment="1" applyProtection="1">
      <alignment horizontal="center" vertical="center"/>
      <protection locked="0"/>
    </xf>
    <xf numFmtId="168" fontId="25" fillId="8" borderId="54" xfId="6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4" fontId="3" fillId="0" borderId="1" xfId="0" quotePrefix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6" fontId="4" fillId="3" borderId="23" xfId="1" quotePrefix="1" applyNumberFormat="1" applyFont="1" applyFill="1" applyBorder="1" applyAlignment="1" applyProtection="1">
      <alignment horizontal="center" vertical="center"/>
    </xf>
    <xf numFmtId="44" fontId="3" fillId="0" borderId="12" xfId="0" quotePrefix="1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26" fillId="0" borderId="57" xfId="6" applyFont="1" applyBorder="1" applyAlignment="1" applyProtection="1">
      <alignment horizontal="center" vertical="center"/>
      <protection locked="0"/>
    </xf>
    <xf numFmtId="0" fontId="16" fillId="6" borderId="16" xfId="0" applyFont="1" applyFill="1" applyBorder="1" applyAlignment="1">
      <alignment horizontal="left" vertical="top" wrapText="1"/>
    </xf>
    <xf numFmtId="0" fontId="4" fillId="3" borderId="23" xfId="0" applyFont="1" applyFill="1" applyBorder="1" applyAlignment="1">
      <alignment horizontal="center" vertical="center"/>
    </xf>
    <xf numFmtId="0" fontId="4" fillId="3" borderId="60" xfId="0" applyFont="1" applyFill="1" applyBorder="1" applyAlignment="1">
      <alignment horizontal="center" vertical="center"/>
    </xf>
    <xf numFmtId="166" fontId="3" fillId="0" borderId="1" xfId="1" applyNumberFormat="1" applyFont="1" applyFill="1" applyBorder="1" applyAlignment="1" applyProtection="1">
      <alignment horizontal="center" vertical="center" wrapText="1"/>
    </xf>
    <xf numFmtId="168" fontId="3" fillId="0" borderId="1" xfId="2" applyNumberFormat="1" applyFont="1" applyFill="1" applyBorder="1" applyAlignment="1" applyProtection="1">
      <alignment horizontal="center" vertical="center"/>
    </xf>
    <xf numFmtId="0" fontId="3" fillId="0" borderId="8" xfId="0" applyFont="1" applyBorder="1" applyAlignment="1">
      <alignment horizontal="left" vertical="center"/>
    </xf>
    <xf numFmtId="168" fontId="3" fillId="0" borderId="9" xfId="2" applyNumberFormat="1" applyFont="1" applyFill="1" applyBorder="1" applyAlignment="1" applyProtection="1">
      <alignment horizontal="center" vertical="center"/>
    </xf>
    <xf numFmtId="168" fontId="26" fillId="2" borderId="41" xfId="7" applyNumberFormat="1" applyFont="1" applyFill="1" applyBorder="1" applyAlignment="1">
      <alignment horizontal="center" vertical="center"/>
    </xf>
    <xf numFmtId="0" fontId="25" fillId="7" borderId="35" xfId="6" applyFont="1" applyFill="1" applyBorder="1" applyAlignment="1" applyProtection="1">
      <alignment horizontal="center" vertical="center"/>
      <protection locked="0"/>
    </xf>
    <xf numFmtId="0" fontId="2" fillId="0" borderId="36" xfId="6" applyBorder="1" applyProtection="1">
      <protection locked="0"/>
    </xf>
    <xf numFmtId="0" fontId="2" fillId="0" borderId="37" xfId="6" applyBorder="1" applyProtection="1">
      <protection locked="0"/>
    </xf>
    <xf numFmtId="0" fontId="0" fillId="0" borderId="0" xfId="0"/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15" fillId="0" borderId="25" xfId="0" applyFont="1" applyBorder="1" applyAlignment="1">
      <alignment vertical="top"/>
    </xf>
    <xf numFmtId="0" fontId="15" fillId="0" borderId="26" xfId="0" applyFont="1" applyBorder="1" applyAlignment="1">
      <alignment vertical="top"/>
    </xf>
    <xf numFmtId="0" fontId="1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3" borderId="33" xfId="0" applyFont="1" applyFill="1" applyBorder="1" applyAlignment="1">
      <alignment horizontal="left" vertical="center"/>
    </xf>
    <xf numFmtId="0" fontId="4" fillId="3" borderId="55" xfId="0" applyFont="1" applyFill="1" applyBorder="1" applyAlignment="1">
      <alignment horizontal="left" vertical="center"/>
    </xf>
    <xf numFmtId="0" fontId="4" fillId="3" borderId="31" xfId="0" applyFont="1" applyFill="1" applyBorder="1" applyAlignment="1">
      <alignment horizontal="left" vertical="center"/>
    </xf>
    <xf numFmtId="0" fontId="15" fillId="0" borderId="25" xfId="0" applyFont="1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168" fontId="3" fillId="0" borderId="13" xfId="2" applyNumberFormat="1" applyFont="1" applyFill="1" applyBorder="1" applyAlignment="1" applyProtection="1">
      <alignment horizontal="center" vertical="center"/>
    </xf>
    <xf numFmtId="0" fontId="0" fillId="0" borderId="10" xfId="0" applyBorder="1"/>
    <xf numFmtId="166" fontId="3" fillId="0" borderId="12" xfId="1" applyNumberFormat="1" applyFont="1" applyFill="1" applyBorder="1" applyAlignment="1" applyProtection="1">
      <alignment horizontal="center" vertical="center" wrapText="1"/>
    </xf>
    <xf numFmtId="0" fontId="0" fillId="0" borderId="61" xfId="0" applyBorder="1" applyAlignment="1">
      <alignment horizontal="center" vertical="center"/>
    </xf>
    <xf numFmtId="166" fontId="21" fillId="0" borderId="12" xfId="1" applyNumberFormat="1" applyFont="1" applyFill="1" applyBorder="1" applyAlignment="1" applyProtection="1">
      <alignment horizontal="center" vertical="center"/>
    </xf>
    <xf numFmtId="0" fontId="21" fillId="0" borderId="30" xfId="0" applyFont="1" applyBorder="1"/>
    <xf numFmtId="0" fontId="16" fillId="0" borderId="0" xfId="0" applyFont="1" applyAlignment="1">
      <alignment horizontal="left" vertical="top"/>
    </xf>
    <xf numFmtId="0" fontId="15" fillId="0" borderId="27" xfId="0" applyFont="1" applyBorder="1" applyAlignment="1">
      <alignment horizontal="left" vertical="top"/>
    </xf>
    <xf numFmtId="0" fontId="15" fillId="0" borderId="25" xfId="0" applyFont="1" applyBorder="1" applyAlignment="1">
      <alignment horizontal="left" vertical="center" wrapText="1"/>
    </xf>
    <xf numFmtId="0" fontId="0" fillId="0" borderId="25" xfId="0" applyBorder="1" applyAlignment="1">
      <alignment wrapText="1"/>
    </xf>
    <xf numFmtId="0" fontId="0" fillId="0" borderId="28" xfId="0" applyBorder="1" applyAlignment="1">
      <alignment wrapText="1"/>
    </xf>
    <xf numFmtId="0" fontId="16" fillId="0" borderId="25" xfId="0" applyFont="1" applyBorder="1" applyAlignment="1">
      <alignment vertical="top"/>
    </xf>
    <xf numFmtId="0" fontId="16" fillId="0" borderId="25" xfId="0" applyFont="1" applyBorder="1" applyAlignment="1">
      <alignment horizontal="left" vertical="top" wrapText="1"/>
    </xf>
    <xf numFmtId="0" fontId="8" fillId="5" borderId="58" xfId="0" applyFont="1" applyFill="1" applyBorder="1" applyAlignment="1" applyProtection="1">
      <alignment horizontal="center" vertical="center"/>
    </xf>
    <xf numFmtId="0" fontId="8" fillId="5" borderId="59" xfId="0" applyFont="1" applyFill="1" applyBorder="1" applyAlignment="1" applyProtection="1">
      <alignment horizontal="center" vertical="center"/>
    </xf>
    <xf numFmtId="0" fontId="0" fillId="0" borderId="29" xfId="0" applyBorder="1" applyProtection="1"/>
    <xf numFmtId="0" fontId="0" fillId="0" borderId="0" xfId="0" applyProtection="1"/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 vertical="center"/>
    </xf>
    <xf numFmtId="0" fontId="11" fillId="0" borderId="56" xfId="0" applyFont="1" applyBorder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0" fillId="0" borderId="0" xfId="0" applyProtection="1"/>
    <xf numFmtId="0" fontId="4" fillId="4" borderId="1" xfId="0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vertical="center"/>
    </xf>
    <xf numFmtId="4" fontId="17" fillId="0" borderId="1" xfId="0" applyNumberFormat="1" applyFont="1" applyBorder="1" applyAlignment="1" applyProtection="1">
      <alignment horizontal="center" vertical="center"/>
    </xf>
    <xf numFmtId="4" fontId="18" fillId="0" borderId="1" xfId="0" applyNumberFormat="1" applyFont="1" applyBorder="1" applyAlignment="1" applyProtection="1">
      <alignment horizontal="center" vertical="center"/>
    </xf>
    <xf numFmtId="3" fontId="18" fillId="0" borderId="1" xfId="0" applyNumberFormat="1" applyFont="1" applyBorder="1" applyAlignment="1" applyProtection="1">
      <alignment horizontal="center" vertical="center"/>
    </xf>
    <xf numFmtId="170" fontId="3" fillId="0" borderId="0" xfId="0" applyNumberFormat="1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19" fillId="4" borderId="1" xfId="0" applyFont="1" applyFill="1" applyBorder="1" applyAlignment="1" applyProtection="1">
      <alignment horizontal="right" vertical="center"/>
    </xf>
    <xf numFmtId="43" fontId="19" fillId="4" borderId="1" xfId="0" applyNumberFormat="1" applyFont="1" applyFill="1" applyBorder="1" applyAlignment="1" applyProtection="1">
      <alignment horizontal="center" vertical="center"/>
    </xf>
    <xf numFmtId="170" fontId="3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43" fontId="8" fillId="0" borderId="0" xfId="0" applyNumberFormat="1" applyFont="1" applyAlignment="1" applyProtection="1">
      <alignment horizontal="center" vertical="center"/>
    </xf>
    <xf numFmtId="43" fontId="10" fillId="0" borderId="0" xfId="0" applyNumberFormat="1" applyFont="1" applyAlignment="1" applyProtection="1">
      <alignment horizontal="center" vertical="center"/>
    </xf>
    <xf numFmtId="0" fontId="4" fillId="4" borderId="58" xfId="0" applyFont="1" applyFill="1" applyBorder="1" applyAlignment="1" applyProtection="1">
      <alignment horizontal="left" vertical="center"/>
    </xf>
    <xf numFmtId="0" fontId="4" fillId="4" borderId="29" xfId="0" applyFont="1" applyFill="1" applyBorder="1" applyAlignment="1" applyProtection="1">
      <alignment horizontal="left" vertical="center"/>
    </xf>
    <xf numFmtId="0" fontId="19" fillId="4" borderId="1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/>
    </xf>
    <xf numFmtId="0" fontId="19" fillId="4" borderId="1" xfId="0" applyFont="1" applyFill="1" applyBorder="1" applyAlignment="1" applyProtection="1">
      <alignment horizontal="left" vertical="center"/>
    </xf>
    <xf numFmtId="0" fontId="19" fillId="4" borderId="1" xfId="0" applyFont="1" applyFill="1" applyBorder="1" applyAlignment="1" applyProtection="1">
      <alignment horizontal="center" vertical="center"/>
    </xf>
    <xf numFmtId="0" fontId="19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18" fillId="0" borderId="1" xfId="0" applyFont="1" applyBorder="1" applyProtection="1"/>
    <xf numFmtId="168" fontId="18" fillId="0" borderId="0" xfId="0" applyNumberFormat="1" applyFont="1" applyAlignment="1" applyProtection="1">
      <alignment horizontal="center" vertical="center"/>
    </xf>
    <xf numFmtId="167" fontId="18" fillId="0" borderId="1" xfId="0" applyNumberFormat="1" applyFont="1" applyBorder="1" applyAlignment="1" applyProtection="1">
      <alignment horizontal="center" vertical="center"/>
    </xf>
    <xf numFmtId="168" fontId="18" fillId="0" borderId="0" xfId="0" applyNumberFormat="1" applyFont="1" applyAlignment="1" applyProtection="1">
      <alignment horizontal="center"/>
    </xf>
    <xf numFmtId="0" fontId="12" fillId="0" borderId="0" xfId="0" applyFont="1" applyAlignment="1" applyProtection="1">
      <alignment horizontal="left" vertical="top" wrapText="1"/>
    </xf>
    <xf numFmtId="0" fontId="12" fillId="0" borderId="0" xfId="0" applyFont="1" applyAlignment="1" applyProtection="1">
      <alignment horizontal="left" vertical="top" wrapText="1"/>
    </xf>
    <xf numFmtId="0" fontId="18" fillId="0" borderId="0" xfId="0" applyFont="1" applyAlignment="1" applyProtection="1">
      <alignment horizontal="center" vertical="center"/>
    </xf>
    <xf numFmtId="0" fontId="18" fillId="0" borderId="1" xfId="0" applyFont="1" applyBorder="1" applyAlignment="1" applyProtection="1">
      <alignment vertical="center"/>
    </xf>
    <xf numFmtId="0" fontId="22" fillId="0" borderId="0" xfId="0" applyFont="1" applyAlignment="1" applyProtection="1">
      <alignment horizontal="center" vertical="center" wrapText="1"/>
    </xf>
    <xf numFmtId="0" fontId="22" fillId="0" borderId="0" xfId="0" applyFont="1" applyAlignment="1" applyProtection="1">
      <alignment vertical="center" wrapText="1"/>
    </xf>
    <xf numFmtId="4" fontId="22" fillId="0" borderId="0" xfId="0" applyNumberFormat="1" applyFont="1" applyAlignment="1" applyProtection="1">
      <alignment horizontal="center" vertical="center" wrapText="1"/>
    </xf>
    <xf numFmtId="0" fontId="12" fillId="0" borderId="0" xfId="0" applyFont="1" applyAlignment="1" applyProtection="1">
      <alignment vertical="top"/>
    </xf>
    <xf numFmtId="0" fontId="19" fillId="4" borderId="1" xfId="0" applyFont="1" applyFill="1" applyBorder="1" applyAlignment="1" applyProtection="1">
      <alignment horizontal="left" wrapText="1"/>
    </xf>
    <xf numFmtId="0" fontId="20" fillId="0" borderId="0" xfId="0" applyFont="1" applyAlignment="1" applyProtection="1">
      <alignment horizontal="center" vertical="center" wrapText="1"/>
    </xf>
    <xf numFmtId="0" fontId="18" fillId="0" borderId="1" xfId="0" applyFont="1" applyBorder="1" applyAlignment="1" applyProtection="1">
      <alignment wrapText="1"/>
    </xf>
    <xf numFmtId="0" fontId="0" fillId="0" borderId="0" xfId="0" applyAlignment="1" applyProtection="1">
      <alignment horizontal="center" vertical="center"/>
    </xf>
    <xf numFmtId="0" fontId="14" fillId="0" borderId="0" xfId="0" applyFont="1" applyAlignment="1" applyProtection="1">
      <alignment vertical="center" wrapText="1"/>
    </xf>
    <xf numFmtId="0" fontId="18" fillId="0" borderId="0" xfId="0" applyFont="1" applyProtection="1"/>
    <xf numFmtId="0" fontId="19" fillId="4" borderId="1" xfId="0" applyFont="1" applyFill="1" applyBorder="1" applyAlignment="1" applyProtection="1">
      <alignment horizontal="center"/>
    </xf>
    <xf numFmtId="0" fontId="3" fillId="0" borderId="0" xfId="0" applyFont="1" applyProtection="1"/>
    <xf numFmtId="0" fontId="0" fillId="0" borderId="0" xfId="0" applyAlignment="1" applyProtection="1">
      <alignment horizontal="left" vertical="top" wrapText="1"/>
    </xf>
    <xf numFmtId="0" fontId="24" fillId="0" borderId="0" xfId="0" applyFont="1" applyProtection="1"/>
    <xf numFmtId="0" fontId="23" fillId="0" borderId="0" xfId="0" applyFont="1" applyAlignment="1" applyProtection="1">
      <alignment horizontal="center" vertical="center"/>
    </xf>
    <xf numFmtId="0" fontId="23" fillId="0" borderId="0" xfId="0" applyFont="1" applyProtection="1"/>
    <xf numFmtId="0" fontId="18" fillId="0" borderId="0" xfId="0" applyFont="1" applyAlignment="1" applyProtection="1">
      <alignment horizontal="left" vertical="top" wrapText="1"/>
    </xf>
    <xf numFmtId="0" fontId="18" fillId="0" borderId="0" xfId="0" applyFont="1" applyAlignment="1" applyProtection="1">
      <alignment horizontal="left" vertical="top"/>
    </xf>
    <xf numFmtId="0" fontId="18" fillId="6" borderId="0" xfId="0" applyFont="1" applyFill="1" applyAlignment="1" applyProtection="1">
      <alignment horizontal="left" vertical="top" wrapText="1"/>
    </xf>
    <xf numFmtId="167" fontId="18" fillId="2" borderId="1" xfId="0" applyNumberFormat="1" applyFont="1" applyFill="1" applyBorder="1" applyAlignment="1" applyProtection="1">
      <alignment horizontal="center" vertical="center"/>
      <protection locked="0"/>
    </xf>
    <xf numFmtId="167" fontId="18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0">
    <cellStyle name="Moeda" xfId="3" builtinId="4"/>
    <cellStyle name="Moeda 2" xfId="5" xr:uid="{00000000-0005-0000-0000-000001000000}"/>
    <cellStyle name="Normal" xfId="0" builtinId="0"/>
    <cellStyle name="Normal 2" xfId="4" xr:uid="{00000000-0005-0000-0000-000003000000}"/>
    <cellStyle name="Normal 3" xfId="6" xr:uid="{00000000-0005-0000-0000-000004000000}"/>
    <cellStyle name="Normal 3 2" xfId="7" xr:uid="{00000000-0005-0000-0000-000005000000}"/>
    <cellStyle name="Normal 3 2 2" xfId="9" xr:uid="{00000000-0005-0000-0000-000006000000}"/>
    <cellStyle name="Normal 3 3" xfId="8" xr:uid="{00000000-0005-0000-0000-000007000000}"/>
    <cellStyle name="Porcentagem" xfId="1" builtinId="5"/>
    <cellStyle name="Vírgula" xfId="2" builtinId="3"/>
  </cellStyles>
  <dxfs count="1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F99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tabSelected="1" zoomScaleNormal="100" workbookViewId="0">
      <selection activeCell="A4" sqref="A4"/>
    </sheetView>
  </sheetViews>
  <sheetFormatPr defaultColWidth="8.85546875" defaultRowHeight="12.75" x14ac:dyDescent="0.2"/>
  <cols>
    <col min="1" max="1" width="85.7109375" style="112" customWidth="1"/>
    <col min="2" max="2" width="25.5703125" style="121" customWidth="1"/>
    <col min="3" max="3" width="52" style="112" customWidth="1"/>
    <col min="4" max="4" width="8.85546875" style="112"/>
    <col min="5" max="6" width="9.5703125" style="112" bestFit="1" customWidth="1"/>
    <col min="7" max="16384" width="8.85546875" style="112"/>
  </cols>
  <sheetData>
    <row r="1" spans="1:3" s="105" customFormat="1" ht="33.6" customHeight="1" thickBot="1" x14ac:dyDescent="0.3">
      <c r="A1" s="148" t="s">
        <v>180</v>
      </c>
      <c r="B1" s="149"/>
      <c r="C1" s="150"/>
    </row>
    <row r="2" spans="1:3" s="105" customFormat="1" ht="16.5" thickTop="1" thickBot="1" x14ac:dyDescent="0.25">
      <c r="A2" s="122"/>
      <c r="B2" s="124"/>
      <c r="C2" s="108"/>
    </row>
    <row r="3" spans="1:3" s="105" customFormat="1" ht="14.25" thickTop="1" thickBot="1" x14ac:dyDescent="0.25">
      <c r="A3" s="106" t="s">
        <v>181</v>
      </c>
      <c r="B3" s="106" t="s">
        <v>182</v>
      </c>
      <c r="C3" s="126" t="s">
        <v>169</v>
      </c>
    </row>
    <row r="4" spans="1:3" s="105" customFormat="1" ht="14.25" thickTop="1" thickBot="1" x14ac:dyDescent="0.25">
      <c r="A4" s="109"/>
      <c r="B4" s="147"/>
      <c r="C4" s="127"/>
    </row>
    <row r="5" spans="1:3" s="105" customFormat="1" ht="14.25" thickTop="1" thickBot="1" x14ac:dyDescent="0.25">
      <c r="A5" s="109"/>
      <c r="B5" s="110"/>
      <c r="C5" s="127"/>
    </row>
    <row r="6" spans="1:3" s="105" customFormat="1" ht="14.25" thickTop="1" thickBot="1" x14ac:dyDescent="0.25">
      <c r="A6" s="109"/>
      <c r="B6" s="110"/>
      <c r="C6" s="127"/>
    </row>
    <row r="7" spans="1:3" s="105" customFormat="1" ht="14.25" thickTop="1" thickBot="1" x14ac:dyDescent="0.25">
      <c r="A7" s="109"/>
      <c r="B7" s="110"/>
      <c r="C7" s="127"/>
    </row>
    <row r="8" spans="1:3" s="105" customFormat="1" ht="14.25" thickTop="1" thickBot="1" x14ac:dyDescent="0.25">
      <c r="A8" s="125"/>
      <c r="B8" s="107"/>
      <c r="C8" s="128"/>
    </row>
    <row r="9" spans="1:3" s="105" customFormat="1" ht="16.5" thickTop="1" thickBot="1" x14ac:dyDescent="0.25">
      <c r="A9" s="130" t="s">
        <v>183</v>
      </c>
      <c r="B9" s="131">
        <f>SUM(B4:B8)</f>
        <v>0</v>
      </c>
      <c r="C9" s="129"/>
    </row>
    <row r="10" spans="1:3" s="105" customFormat="1" ht="16.5" thickTop="1" thickBot="1" x14ac:dyDescent="0.25">
      <c r="A10" s="122"/>
      <c r="B10" s="139"/>
      <c r="C10" s="123"/>
    </row>
    <row r="11" spans="1:3" s="105" customFormat="1" ht="14.25" thickTop="1" thickBot="1" x14ac:dyDescent="0.25">
      <c r="A11" s="106" t="s">
        <v>149</v>
      </c>
      <c r="B11" s="106" t="s">
        <v>184</v>
      </c>
      <c r="C11" s="126" t="s">
        <v>169</v>
      </c>
    </row>
    <row r="12" spans="1:3" s="105" customFormat="1" ht="14.25" thickTop="1" thickBot="1" x14ac:dyDescent="0.25">
      <c r="A12" s="109"/>
      <c r="B12" s="110"/>
      <c r="C12" s="127"/>
    </row>
    <row r="13" spans="1:3" s="105" customFormat="1" ht="14.25" thickTop="1" thickBot="1" x14ac:dyDescent="0.25">
      <c r="A13" s="109"/>
      <c r="B13" s="110" t="s">
        <v>209</v>
      </c>
      <c r="C13" s="127"/>
    </row>
    <row r="14" spans="1:3" s="105" customFormat="1" ht="14.25" thickTop="1" thickBot="1" x14ac:dyDescent="0.25">
      <c r="A14" s="109"/>
      <c r="B14" s="109"/>
      <c r="C14" s="127"/>
    </row>
    <row r="15" spans="1:3" s="105" customFormat="1" ht="14.25" thickTop="1" thickBot="1" x14ac:dyDescent="0.25">
      <c r="A15" s="109"/>
      <c r="B15" s="109"/>
      <c r="C15" s="127"/>
    </row>
    <row r="16" spans="1:3" s="105" customFormat="1" ht="14.25" thickTop="1" thickBot="1" x14ac:dyDescent="0.25">
      <c r="A16" s="109"/>
      <c r="B16" s="109"/>
      <c r="C16" s="127"/>
    </row>
    <row r="17" spans="1:3" s="105" customFormat="1" ht="16.5" thickTop="1" thickBot="1" x14ac:dyDescent="0.25">
      <c r="A17" s="130" t="s">
        <v>148</v>
      </c>
      <c r="B17" s="131">
        <f>SUM(B12:B14)</f>
        <v>0</v>
      </c>
      <c r="C17" s="129"/>
    </row>
    <row r="18" spans="1:3" s="105" customFormat="1" ht="16.5" thickTop="1" thickBot="1" x14ac:dyDescent="0.25">
      <c r="A18" s="112"/>
      <c r="B18" s="112"/>
      <c r="C18" s="123"/>
    </row>
    <row r="19" spans="1:3" ht="16.5" thickTop="1" thickBot="1" x14ac:dyDescent="0.3">
      <c r="A19" s="115" t="s">
        <v>132</v>
      </c>
      <c r="B19" s="116" t="s">
        <v>133</v>
      </c>
      <c r="C19" s="114"/>
    </row>
    <row r="20" spans="1:3" ht="16.5" thickTop="1" thickBot="1" x14ac:dyDescent="0.3">
      <c r="A20" s="109"/>
      <c r="B20" s="117"/>
      <c r="C20" s="114"/>
    </row>
    <row r="21" spans="1:3" ht="16.5" thickTop="1" thickBot="1" x14ac:dyDescent="0.3">
      <c r="A21" s="109"/>
      <c r="B21" s="117"/>
      <c r="C21" s="114"/>
    </row>
    <row r="22" spans="1:3" ht="16.5" thickTop="1" thickBot="1" x14ac:dyDescent="0.3">
      <c r="A22" s="109"/>
      <c r="B22" s="117"/>
      <c r="C22" s="114"/>
    </row>
    <row r="23" spans="1:3" ht="16.5" thickTop="1" thickBot="1" x14ac:dyDescent="0.3">
      <c r="A23" s="109"/>
      <c r="B23" s="117"/>
      <c r="C23" s="114"/>
    </row>
    <row r="24" spans="1:3" ht="16.5" thickTop="1" thickBot="1" x14ac:dyDescent="0.3">
      <c r="A24" s="111"/>
      <c r="B24" s="118"/>
      <c r="C24" s="114"/>
    </row>
    <row r="25" spans="1:3" ht="16.5" thickTop="1" thickBot="1" x14ac:dyDescent="0.3">
      <c r="A25" s="111"/>
      <c r="B25" s="118"/>
      <c r="C25" s="114"/>
    </row>
    <row r="26" spans="1:3" ht="16.5" thickTop="1" thickBot="1" x14ac:dyDescent="0.3">
      <c r="A26" s="111"/>
      <c r="B26" s="118"/>
      <c r="C26" s="114"/>
    </row>
    <row r="27" spans="1:3" ht="16.5" thickTop="1" thickBot="1" x14ac:dyDescent="0.3">
      <c r="A27" s="111"/>
      <c r="B27" s="118"/>
      <c r="C27" s="114"/>
    </row>
    <row r="28" spans="1:3" ht="16.5" thickTop="1" thickBot="1" x14ac:dyDescent="0.3">
      <c r="A28" s="111"/>
      <c r="B28" s="118"/>
      <c r="C28" s="114"/>
    </row>
    <row r="29" spans="1:3" ht="16.5" thickTop="1" thickBot="1" x14ac:dyDescent="0.3">
      <c r="A29" s="111"/>
      <c r="B29" s="118"/>
      <c r="C29" s="114"/>
    </row>
    <row r="30" spans="1:3" ht="16.5" thickTop="1" thickBot="1" x14ac:dyDescent="0.3">
      <c r="A30" s="113" t="s">
        <v>134</v>
      </c>
      <c r="B30" s="119">
        <f>SUM(B20:B29)</f>
        <v>0</v>
      </c>
      <c r="C30" s="114"/>
    </row>
    <row r="31" spans="1:3" ht="13.5" thickTop="1" x14ac:dyDescent="0.2">
      <c r="A31" s="120"/>
    </row>
  </sheetData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1">
    <tabColor theme="2" tint="-0.89999084444715716"/>
    <pageSetUpPr fitToPage="1"/>
  </sheetPr>
  <dimension ref="A2:K52"/>
  <sheetViews>
    <sheetView showGridLines="0" zoomScaleNormal="100" zoomScaleSheetLayoutView="80" workbookViewId="0">
      <selection activeCell="C17" sqref="C17"/>
    </sheetView>
  </sheetViews>
  <sheetFormatPr defaultColWidth="9.140625" defaultRowHeight="12.75" x14ac:dyDescent="0.2"/>
  <cols>
    <col min="1" max="1" width="74.7109375" style="183" customWidth="1"/>
    <col min="2" max="2" width="16.5703125" style="229" customWidth="1"/>
    <col min="3" max="3" width="16.42578125" style="229" customWidth="1"/>
    <col min="4" max="4" width="14.85546875" style="229" customWidth="1"/>
    <col min="5" max="5" width="13.5703125" style="229" customWidth="1"/>
    <col min="6" max="6" width="15.7109375" style="229" bestFit="1" customWidth="1"/>
    <col min="7" max="7" width="18.85546875" style="183" customWidth="1"/>
    <col min="8" max="8" width="19" style="183" customWidth="1"/>
    <col min="9" max="9" width="18.42578125" style="183" bestFit="1" customWidth="1"/>
    <col min="10" max="10" width="16.7109375" style="183" customWidth="1"/>
    <col min="11" max="16384" width="9.140625" style="183"/>
  </cols>
  <sheetData>
    <row r="2" spans="1:9" ht="25.5" customHeight="1" x14ac:dyDescent="0.2">
      <c r="A2" s="180" t="s">
        <v>0</v>
      </c>
      <c r="B2" s="181"/>
      <c r="C2" s="181"/>
      <c r="D2" s="181"/>
      <c r="E2" s="181"/>
      <c r="F2" s="181"/>
      <c r="G2" s="182"/>
    </row>
    <row r="3" spans="1:9" x14ac:dyDescent="0.2">
      <c r="A3" s="184"/>
      <c r="B3" s="185"/>
      <c r="C3" s="185"/>
      <c r="D3" s="185"/>
      <c r="E3" s="185"/>
      <c r="F3" s="185"/>
    </row>
    <row r="4" spans="1:9" ht="19.5" customHeight="1" x14ac:dyDescent="0.2">
      <c r="A4" s="186"/>
      <c r="B4" s="187"/>
      <c r="C4" s="187"/>
      <c r="D4" s="187"/>
      <c r="E4" s="187"/>
      <c r="F4" s="188"/>
      <c r="G4" s="188"/>
    </row>
    <row r="5" spans="1:9" x14ac:dyDescent="0.2">
      <c r="A5" s="184"/>
      <c r="B5" s="185"/>
      <c r="C5" s="185"/>
      <c r="D5" s="185"/>
      <c r="E5" s="185"/>
      <c r="F5" s="185"/>
    </row>
    <row r="6" spans="1:9" s="185" customFormat="1" ht="46.5" customHeight="1" x14ac:dyDescent="0.2">
      <c r="A6" s="189" t="s">
        <v>1</v>
      </c>
      <c r="B6" s="189" t="s">
        <v>175</v>
      </c>
      <c r="C6" s="189" t="s">
        <v>174</v>
      </c>
      <c r="D6" s="189" t="s">
        <v>2</v>
      </c>
      <c r="E6" s="189" t="s">
        <v>3</v>
      </c>
      <c r="F6" s="189" t="s">
        <v>176</v>
      </c>
      <c r="G6" s="189" t="s">
        <v>177</v>
      </c>
    </row>
    <row r="7" spans="1:9" s="185" customFormat="1" ht="18.75" customHeight="1" x14ac:dyDescent="0.2">
      <c r="A7" s="190" t="s">
        <v>170</v>
      </c>
      <c r="B7" s="191">
        <v>3000</v>
      </c>
      <c r="C7" s="192">
        <f>'Posto 1'!D80</f>
        <v>6181.73</v>
      </c>
      <c r="D7" s="193">
        <v>3</v>
      </c>
      <c r="E7" s="192">
        <f t="shared" ref="E7:E8" si="0">D7*C7</f>
        <v>18545.189999999999</v>
      </c>
      <c r="F7" s="192">
        <f t="shared" ref="F7:F8" si="1">E7*12</f>
        <v>222542.27999999997</v>
      </c>
      <c r="G7" s="192">
        <f t="shared" ref="G7:G13" si="2">SUM(F7*5,D7*$C$17)</f>
        <v>1112711.3999999999</v>
      </c>
      <c r="H7" s="194"/>
    </row>
    <row r="8" spans="1:9" s="185" customFormat="1" ht="18.75" customHeight="1" x14ac:dyDescent="0.2">
      <c r="A8" s="190" t="s">
        <v>187</v>
      </c>
      <c r="B8" s="191">
        <v>4500</v>
      </c>
      <c r="C8" s="192">
        <f>'Posto 2'!D80</f>
        <v>8633.49</v>
      </c>
      <c r="D8" s="193">
        <v>2</v>
      </c>
      <c r="E8" s="192">
        <f t="shared" si="0"/>
        <v>17266.98</v>
      </c>
      <c r="F8" s="192">
        <f t="shared" si="1"/>
        <v>207203.76</v>
      </c>
      <c r="G8" s="192">
        <f t="shared" si="2"/>
        <v>1036018.8</v>
      </c>
      <c r="H8" s="194"/>
      <c r="I8" s="195"/>
    </row>
    <row r="9" spans="1:9" s="185" customFormat="1" ht="18.75" customHeight="1" x14ac:dyDescent="0.2">
      <c r="A9" s="190" t="s">
        <v>191</v>
      </c>
      <c r="B9" s="191">
        <v>4500</v>
      </c>
      <c r="C9" s="192">
        <f>'Posto 3'!D80</f>
        <v>8633.49</v>
      </c>
      <c r="D9" s="193">
        <v>6</v>
      </c>
      <c r="E9" s="192">
        <f t="shared" ref="E9" si="3">D9*C9</f>
        <v>51800.94</v>
      </c>
      <c r="F9" s="192">
        <f t="shared" ref="F9" si="4">E9*12</f>
        <v>621611.28</v>
      </c>
      <c r="G9" s="192">
        <f t="shared" si="2"/>
        <v>3108056.4000000004</v>
      </c>
      <c r="H9" s="194"/>
      <c r="I9" s="195"/>
    </row>
    <row r="10" spans="1:9" s="185" customFormat="1" ht="18.75" customHeight="1" x14ac:dyDescent="0.2">
      <c r="A10" s="190" t="s">
        <v>188</v>
      </c>
      <c r="B10" s="191">
        <v>6730.94</v>
      </c>
      <c r="C10" s="192">
        <f>'Posto 4'!D80</f>
        <v>12279.91</v>
      </c>
      <c r="D10" s="193">
        <v>4</v>
      </c>
      <c r="E10" s="192">
        <f>D10*C10</f>
        <v>49119.64</v>
      </c>
      <c r="F10" s="192">
        <f>E10*12</f>
        <v>589435.67999999993</v>
      </c>
      <c r="G10" s="192">
        <f t="shared" si="2"/>
        <v>2947178.3999999994</v>
      </c>
      <c r="H10" s="194"/>
      <c r="I10" s="195"/>
    </row>
    <row r="11" spans="1:9" s="185" customFormat="1" ht="18.75" customHeight="1" x14ac:dyDescent="0.2">
      <c r="A11" s="190" t="s">
        <v>192</v>
      </c>
      <c r="B11" s="191">
        <v>6730.94</v>
      </c>
      <c r="C11" s="192">
        <f>'Posto 5'!D80</f>
        <v>12279.91</v>
      </c>
      <c r="D11" s="193">
        <v>8</v>
      </c>
      <c r="E11" s="192">
        <f>D11*C11</f>
        <v>98239.28</v>
      </c>
      <c r="F11" s="192">
        <f>E11*12</f>
        <v>1178871.3599999999</v>
      </c>
      <c r="G11" s="192">
        <f t="shared" si="2"/>
        <v>5894356.7999999989</v>
      </c>
      <c r="H11" s="194"/>
      <c r="I11" s="195"/>
    </row>
    <row r="12" spans="1:9" s="185" customFormat="1" ht="18.75" customHeight="1" x14ac:dyDescent="0.2">
      <c r="A12" s="190" t="s">
        <v>189</v>
      </c>
      <c r="B12" s="191">
        <v>9000</v>
      </c>
      <c r="C12" s="192">
        <f>'Posto 6'!D80</f>
        <v>16066.78</v>
      </c>
      <c r="D12" s="193">
        <v>2</v>
      </c>
      <c r="E12" s="192">
        <f>D12*C12</f>
        <v>32133.56</v>
      </c>
      <c r="F12" s="192">
        <f>E12*12</f>
        <v>385602.72000000003</v>
      </c>
      <c r="G12" s="192">
        <f t="shared" si="2"/>
        <v>1928013.6</v>
      </c>
      <c r="H12" s="194"/>
      <c r="I12" s="195"/>
    </row>
    <row r="13" spans="1:9" s="185" customFormat="1" ht="18.75" customHeight="1" x14ac:dyDescent="0.2">
      <c r="A13" s="190" t="s">
        <v>190</v>
      </c>
      <c r="B13" s="191">
        <v>9000</v>
      </c>
      <c r="C13" s="192">
        <f>'Posto 7'!D80</f>
        <v>16066.78</v>
      </c>
      <c r="D13" s="193">
        <v>1</v>
      </c>
      <c r="E13" s="192">
        <f>D13*C13</f>
        <v>16066.78</v>
      </c>
      <c r="F13" s="192">
        <f>E13*12</f>
        <v>192801.36000000002</v>
      </c>
      <c r="G13" s="192">
        <f t="shared" si="2"/>
        <v>964006.8</v>
      </c>
      <c r="H13" s="194"/>
      <c r="I13" s="195"/>
    </row>
    <row r="14" spans="1:9" s="200" customFormat="1" ht="25.5" customHeight="1" x14ac:dyDescent="0.2">
      <c r="A14" s="196" t="s">
        <v>4</v>
      </c>
      <c r="B14" s="196"/>
      <c r="C14" s="196"/>
      <c r="D14" s="196"/>
      <c r="E14" s="197">
        <f>SUM(E7:E12)</f>
        <v>267105.59000000003</v>
      </c>
      <c r="F14" s="197">
        <f>SUM(F7:F12)</f>
        <v>3205267.08</v>
      </c>
      <c r="G14" s="197">
        <f>SUM(G7:G13)</f>
        <v>16990342.199999999</v>
      </c>
      <c r="H14" s="198"/>
      <c r="I14" s="199"/>
    </row>
    <row r="15" spans="1:9" s="200" customFormat="1" ht="20.25" customHeight="1" x14ac:dyDescent="0.2">
      <c r="A15" s="201"/>
      <c r="B15" s="202"/>
      <c r="C15" s="202"/>
      <c r="D15" s="202"/>
      <c r="E15" s="203"/>
      <c r="F15" s="204"/>
    </row>
    <row r="16" spans="1:9" s="200" customFormat="1" ht="33.75" customHeight="1" x14ac:dyDescent="0.2">
      <c r="A16" s="205" t="s">
        <v>207</v>
      </c>
      <c r="B16" s="206"/>
      <c r="C16" s="207" t="s">
        <v>210</v>
      </c>
      <c r="D16" s="202"/>
      <c r="E16" s="203"/>
      <c r="F16" s="204"/>
    </row>
    <row r="17" spans="1:11" s="200" customFormat="1" ht="60" customHeight="1" x14ac:dyDescent="0.2">
      <c r="A17" s="208" t="s">
        <v>208</v>
      </c>
      <c r="B17" s="209"/>
      <c r="C17" s="103"/>
      <c r="D17" s="202"/>
      <c r="E17" s="203"/>
      <c r="F17" s="204"/>
    </row>
    <row r="18" spans="1:11" s="200" customFormat="1" ht="20.25" customHeight="1" x14ac:dyDescent="0.2">
      <c r="A18" s="201"/>
      <c r="B18" s="202"/>
      <c r="C18" s="202"/>
      <c r="D18" s="202"/>
      <c r="E18" s="203"/>
      <c r="F18" s="204"/>
    </row>
    <row r="19" spans="1:11" s="200" customFormat="1" ht="20.25" customHeight="1" x14ac:dyDescent="0.2">
      <c r="A19" s="201"/>
      <c r="B19" s="202"/>
      <c r="C19" s="202"/>
      <c r="D19" s="202"/>
      <c r="E19" s="203"/>
      <c r="F19" s="204"/>
    </row>
    <row r="20" spans="1:11" s="213" customFormat="1" ht="15" x14ac:dyDescent="0.2">
      <c r="A20" s="210" t="s">
        <v>100</v>
      </c>
      <c r="B20" s="211" t="s">
        <v>5</v>
      </c>
      <c r="C20" s="212"/>
      <c r="D20" s="183"/>
      <c r="E20" s="183"/>
      <c r="F20" s="183"/>
      <c r="G20" s="183"/>
      <c r="H20" s="183"/>
      <c r="I20" s="183"/>
      <c r="J20" s="183"/>
      <c r="K20" s="183"/>
    </row>
    <row r="21" spans="1:11" ht="14.25" x14ac:dyDescent="0.2">
      <c r="A21" s="214" t="s">
        <v>98</v>
      </c>
      <c r="B21" s="241"/>
      <c r="C21" s="215"/>
      <c r="D21" s="183"/>
      <c r="E21" s="183"/>
      <c r="F21" s="183"/>
    </row>
    <row r="22" spans="1:11" ht="16.5" customHeight="1" x14ac:dyDescent="0.2">
      <c r="A22" s="214" t="s">
        <v>6</v>
      </c>
      <c r="B22" s="216">
        <f>'CUSTOS DE VALOR SUBJETIVO'!B30</f>
        <v>0</v>
      </c>
      <c r="C22" s="217"/>
      <c r="D22" s="183"/>
      <c r="E22" s="183"/>
      <c r="F22" s="183"/>
    </row>
    <row r="23" spans="1:11" ht="12.75" customHeight="1" x14ac:dyDescent="0.2">
      <c r="A23" s="218"/>
      <c r="B23" s="218"/>
      <c r="C23" s="218"/>
      <c r="D23" s="218"/>
      <c r="E23" s="218"/>
      <c r="F23" s="218"/>
    </row>
    <row r="24" spans="1:11" ht="12.75" customHeight="1" x14ac:dyDescent="0.2">
      <c r="A24" s="219"/>
      <c r="B24" s="219"/>
      <c r="C24" s="219"/>
      <c r="D24" s="219"/>
      <c r="E24" s="219"/>
      <c r="F24" s="219"/>
    </row>
    <row r="25" spans="1:11" ht="16.5" customHeight="1" x14ac:dyDescent="0.2">
      <c r="A25" s="210" t="s">
        <v>75</v>
      </c>
      <c r="B25" s="207" t="s">
        <v>78</v>
      </c>
      <c r="C25" s="220"/>
      <c r="D25" s="183"/>
      <c r="E25" s="183"/>
      <c r="F25" s="183"/>
    </row>
    <row r="26" spans="1:11" ht="16.5" customHeight="1" x14ac:dyDescent="0.2">
      <c r="A26" s="221" t="s">
        <v>125</v>
      </c>
      <c r="B26" s="103"/>
      <c r="C26" s="220"/>
      <c r="D26" s="183"/>
      <c r="E26" s="183"/>
      <c r="F26" s="183"/>
    </row>
    <row r="27" spans="1:11" ht="16.5" customHeight="1" x14ac:dyDescent="0.2">
      <c r="A27" s="221" t="s">
        <v>126</v>
      </c>
      <c r="B27" s="104"/>
      <c r="C27" s="220"/>
      <c r="D27" s="183"/>
      <c r="E27" s="183"/>
      <c r="F27" s="183"/>
    </row>
    <row r="28" spans="1:11" ht="12.75" customHeight="1" x14ac:dyDescent="0.2">
      <c r="A28" s="219"/>
      <c r="B28" s="222"/>
      <c r="C28" s="223"/>
      <c r="D28" s="224"/>
      <c r="E28" s="183"/>
      <c r="F28" s="183"/>
    </row>
    <row r="29" spans="1:11" ht="24" customHeight="1" x14ac:dyDescent="0.2">
      <c r="A29" s="225"/>
      <c r="B29" s="225"/>
      <c r="C29" s="225"/>
      <c r="D29" s="225"/>
      <c r="E29" s="183"/>
      <c r="F29" s="183"/>
    </row>
    <row r="30" spans="1:11" ht="16.5" customHeight="1" x14ac:dyDescent="0.25">
      <c r="A30" s="226" t="s">
        <v>76</v>
      </c>
      <c r="B30" s="207" t="s">
        <v>5</v>
      </c>
      <c r="C30" s="227"/>
      <c r="D30" s="183"/>
      <c r="E30" s="183"/>
      <c r="F30" s="183"/>
    </row>
    <row r="31" spans="1:11" ht="16.5" customHeight="1" x14ac:dyDescent="0.2">
      <c r="A31" s="228" t="s">
        <v>131</v>
      </c>
      <c r="B31" s="242"/>
      <c r="C31" s="227"/>
      <c r="F31" s="230"/>
    </row>
    <row r="32" spans="1:11" ht="13.5" customHeight="1" x14ac:dyDescent="0.2">
      <c r="A32" s="231"/>
      <c r="B32" s="220"/>
      <c r="C32" s="231"/>
      <c r="D32" s="183"/>
      <c r="E32" s="183"/>
      <c r="F32" s="183"/>
    </row>
    <row r="33" spans="1:10" s="184" customFormat="1" ht="16.5" customHeight="1" x14ac:dyDescent="0.25">
      <c r="A33" s="232" t="s">
        <v>77</v>
      </c>
      <c r="B33" s="211" t="s">
        <v>5</v>
      </c>
      <c r="C33" s="212"/>
      <c r="D33" s="195"/>
      <c r="E33" s="195"/>
      <c r="F33" s="195"/>
      <c r="G33" s="195"/>
      <c r="H33" s="195"/>
      <c r="I33" s="195"/>
      <c r="J33" s="233"/>
    </row>
    <row r="34" spans="1:10" ht="16.5" customHeight="1" x14ac:dyDescent="0.2">
      <c r="A34" s="214" t="s">
        <v>7</v>
      </c>
      <c r="B34" s="241"/>
      <c r="C34" s="220"/>
      <c r="D34" s="195"/>
      <c r="E34" s="195"/>
      <c r="F34" s="195"/>
      <c r="G34" s="195"/>
      <c r="H34" s="195"/>
      <c r="I34" s="195"/>
      <c r="J34" s="233"/>
    </row>
    <row r="35" spans="1:10" ht="16.5" customHeight="1" x14ac:dyDescent="0.2">
      <c r="A35" s="214" t="s">
        <v>8</v>
      </c>
      <c r="B35" s="241"/>
      <c r="C35" s="220"/>
      <c r="D35" s="195"/>
      <c r="E35" s="195"/>
      <c r="F35" s="195"/>
      <c r="G35" s="195"/>
      <c r="H35" s="195"/>
      <c r="I35" s="195"/>
    </row>
    <row r="36" spans="1:10" ht="16.5" customHeight="1" x14ac:dyDescent="0.2">
      <c r="A36" s="214" t="s">
        <v>9</v>
      </c>
      <c r="B36" s="241"/>
      <c r="C36" s="220"/>
    </row>
    <row r="38" spans="1:10" ht="25.5" customHeight="1" x14ac:dyDescent="0.2">
      <c r="A38" s="218" t="s">
        <v>10</v>
      </c>
      <c r="B38" s="234"/>
      <c r="C38" s="234"/>
      <c r="D38" s="234"/>
      <c r="E38" s="234"/>
      <c r="F38" s="234"/>
      <c r="G38" s="218"/>
      <c r="H38" s="234"/>
      <c r="I38" s="234"/>
    </row>
    <row r="40" spans="1:10" s="237" customFormat="1" ht="23.25" customHeight="1" x14ac:dyDescent="0.25">
      <c r="A40" s="235"/>
      <c r="B40" s="236"/>
      <c r="C40" s="236"/>
      <c r="D40" s="236"/>
      <c r="E40" s="236"/>
      <c r="F40" s="236"/>
    </row>
    <row r="41" spans="1:10" s="237" customFormat="1" ht="14.25" customHeight="1" x14ac:dyDescent="0.25">
      <c r="A41" s="235"/>
      <c r="B41" s="236"/>
      <c r="C41" s="236"/>
      <c r="D41" s="236"/>
      <c r="E41" s="236"/>
      <c r="F41" s="236"/>
    </row>
    <row r="42" spans="1:10" ht="23.25" customHeight="1" x14ac:dyDescent="0.2">
      <c r="A42" s="238"/>
      <c r="B42" s="238"/>
      <c r="C42" s="238"/>
      <c r="D42" s="238"/>
      <c r="E42" s="238"/>
      <c r="F42" s="238"/>
    </row>
    <row r="43" spans="1:10" ht="34.5" customHeight="1" x14ac:dyDescent="0.2">
      <c r="A43" s="238"/>
      <c r="B43" s="238"/>
      <c r="C43" s="238"/>
      <c r="D43" s="238"/>
      <c r="E43" s="238"/>
      <c r="F43" s="238"/>
    </row>
    <row r="44" spans="1:10" ht="36.75" customHeight="1" x14ac:dyDescent="0.2">
      <c r="A44" s="238"/>
      <c r="B44" s="238"/>
      <c r="C44" s="238"/>
      <c r="D44" s="238"/>
      <c r="E44" s="238"/>
      <c r="F44" s="238"/>
    </row>
    <row r="45" spans="1:10" ht="36.75" customHeight="1" x14ac:dyDescent="0.2">
      <c r="A45" s="238"/>
      <c r="B45" s="238"/>
      <c r="C45" s="238"/>
      <c r="D45" s="238"/>
      <c r="E45" s="238"/>
      <c r="F45" s="238"/>
    </row>
    <row r="47" spans="1:10" s="237" customFormat="1" ht="23.25" customHeight="1" x14ac:dyDescent="0.25">
      <c r="A47" s="235"/>
      <c r="B47" s="236"/>
      <c r="C47" s="236"/>
      <c r="D47" s="236"/>
      <c r="E47" s="236"/>
      <c r="F47" s="236"/>
    </row>
    <row r="49" spans="1:6" ht="22.5" customHeight="1" x14ac:dyDescent="0.2">
      <c r="A49" s="239"/>
      <c r="B49" s="239"/>
      <c r="C49" s="239"/>
      <c r="D49" s="239"/>
      <c r="E49" s="239"/>
      <c r="F49" s="239"/>
    </row>
    <row r="50" spans="1:6" ht="36" customHeight="1" x14ac:dyDescent="0.2">
      <c r="A50" s="238"/>
      <c r="B50" s="238"/>
      <c r="C50" s="238"/>
      <c r="D50" s="238"/>
      <c r="E50" s="238"/>
      <c r="F50" s="238"/>
    </row>
    <row r="51" spans="1:6" ht="35.25" customHeight="1" x14ac:dyDescent="0.2">
      <c r="A51" s="238"/>
      <c r="B51" s="238"/>
      <c r="C51" s="238"/>
      <c r="D51" s="238"/>
      <c r="E51" s="238"/>
      <c r="F51" s="238"/>
    </row>
    <row r="52" spans="1:6" ht="36" customHeight="1" x14ac:dyDescent="0.2">
      <c r="A52" s="240"/>
      <c r="B52" s="240"/>
      <c r="C52" s="240"/>
      <c r="D52" s="240"/>
      <c r="E52" s="240"/>
      <c r="F52" s="240"/>
    </row>
  </sheetData>
  <sheetProtection algorithmName="SHA-512" hashValue="gO+7AweUOOTUQFkaF9diZmxzAOwYkOUC7vjjUMlhci9qhxHCrSzOGbMyS808BgGQdwkuwdDAWrvQ3Rv7ZrbPtw==" saltValue="RMbrBNvETbQyGiVzHXxbZQ==" spinCount="100000" sheet="1" objects="1" scenarios="1"/>
  <sortState xmlns:xlrd2="http://schemas.microsoft.com/office/spreadsheetml/2017/richdata2" ref="A7:F35">
    <sortCondition ref="A7:A35"/>
  </sortState>
  <mergeCells count="17">
    <mergeCell ref="A2:G2"/>
    <mergeCell ref="A4:G4"/>
    <mergeCell ref="A49:F49"/>
    <mergeCell ref="A50:F50"/>
    <mergeCell ref="A51:F51"/>
    <mergeCell ref="A44:F44"/>
    <mergeCell ref="G38:I38"/>
    <mergeCell ref="A23:F23"/>
    <mergeCell ref="A14:D14"/>
    <mergeCell ref="A29:D29"/>
    <mergeCell ref="A43:F43"/>
    <mergeCell ref="A42:F42"/>
    <mergeCell ref="A38:F38"/>
    <mergeCell ref="A16:B16"/>
    <mergeCell ref="A17:B17"/>
    <mergeCell ref="A52:F52"/>
    <mergeCell ref="A45:F45"/>
  </mergeCells>
  <conditionalFormatting sqref="B21">
    <cfRule type="expression" dxfId="12" priority="12">
      <formula>ISBLANK($B$21)</formula>
    </cfRule>
  </conditionalFormatting>
  <conditionalFormatting sqref="B22">
    <cfRule type="expression" dxfId="11" priority="11">
      <formula>ISBLANK($B$22)</formula>
    </cfRule>
  </conditionalFormatting>
  <conditionalFormatting sqref="B31">
    <cfRule type="expression" dxfId="10" priority="6">
      <formula>ISBLANK($B$31)</formula>
    </cfRule>
  </conditionalFormatting>
  <conditionalFormatting sqref="B34">
    <cfRule type="expression" dxfId="9" priority="5">
      <formula>ISBLANK($B$34)</formula>
    </cfRule>
  </conditionalFormatting>
  <conditionalFormatting sqref="B35">
    <cfRule type="expression" dxfId="8" priority="4">
      <formula>ISBLANK($B$35)</formula>
    </cfRule>
  </conditionalFormatting>
  <conditionalFormatting sqref="B36">
    <cfRule type="expression" dxfId="7" priority="2">
      <formula>ISBLANK($B$36)</formula>
    </cfRule>
  </conditionalFormatting>
  <pageMargins left="0.51181102362204722" right="0.51181102362204722" top="0.78740157480314965" bottom="0.78740157480314965" header="0.31496062992125984" footer="0.31496062992125984"/>
  <pageSetup paperSize="9" scale="59" fitToHeight="0" orientation="portrait" r:id="rId1"/>
  <ignoredErrors>
    <ignoredError sqref="B22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2">
    <tabColor theme="7" tint="-0.249977111117893"/>
    <pageSetUpPr fitToPage="1"/>
  </sheetPr>
  <dimension ref="A1:E84"/>
  <sheetViews>
    <sheetView showGridLines="0" zoomScale="80" zoomScaleNormal="80" workbookViewId="0">
      <selection activeCell="D57" sqref="D57"/>
    </sheetView>
  </sheetViews>
  <sheetFormatPr defaultColWidth="9.140625" defaultRowHeight="12.75" x14ac:dyDescent="0.2"/>
  <cols>
    <col min="1" max="1" width="70.140625" style="21" customWidth="1"/>
    <col min="2" max="2" width="15.140625" style="21" customWidth="1"/>
    <col min="3" max="3" width="64.5703125" style="21" customWidth="1"/>
    <col min="4" max="4" width="13.5703125" style="25" customWidth="1"/>
    <col min="5" max="5" width="57.85546875" style="21" customWidth="1"/>
    <col min="6" max="6" width="2.42578125" style="21" customWidth="1"/>
    <col min="7" max="16384" width="9.140625" style="21"/>
  </cols>
  <sheetData>
    <row r="1" spans="1:5" ht="20.25" thickBot="1" x14ac:dyDescent="0.25">
      <c r="A1" s="152" t="str">
        <f>"PLANILHA DE COMPOSIÇÃO DE CUSTOS E FORMAÇÃO DE PREÇOS - " &amp; 'Quadro Resumo'!A7</f>
        <v>PLANILHA DE COMPOSIÇÃO DE CUSTOS E FORMAÇÃO DE PREÇOS - Auxiliar administrativo</v>
      </c>
      <c r="B1" s="153"/>
      <c r="C1" s="153"/>
      <c r="D1" s="153"/>
      <c r="E1" s="154"/>
    </row>
    <row r="2" spans="1:5" ht="20.25" thickBot="1" x14ac:dyDescent="0.25">
      <c r="A2" s="18"/>
      <c r="B2" s="19"/>
      <c r="C2" s="19"/>
      <c r="D2" s="22"/>
      <c r="E2" s="20"/>
    </row>
    <row r="3" spans="1:5" ht="17.25" customHeight="1" x14ac:dyDescent="0.2">
      <c r="A3" s="162" t="s">
        <v>155</v>
      </c>
      <c r="B3" s="163"/>
      <c r="C3" s="164"/>
      <c r="D3" s="1" t="s">
        <v>11</v>
      </c>
      <c r="E3" s="1" t="s">
        <v>12</v>
      </c>
    </row>
    <row r="4" spans="1:5" ht="17.25" customHeight="1" thickBot="1" x14ac:dyDescent="0.25">
      <c r="A4" s="35" t="str">
        <f>'Quadro Resumo'!A7</f>
        <v>Auxiliar administrativo</v>
      </c>
      <c r="B4" s="37"/>
      <c r="C4" s="37" t="s">
        <v>13</v>
      </c>
      <c r="D4" s="70">
        <f>'Quadro Resumo'!B7</f>
        <v>3000</v>
      </c>
      <c r="E4" s="38" t="s">
        <v>12</v>
      </c>
    </row>
    <row r="5" spans="1:5" ht="13.5" thickBot="1" x14ac:dyDescent="0.25">
      <c r="A5" s="68"/>
      <c r="B5" s="78"/>
      <c r="C5" s="78"/>
      <c r="D5" s="39"/>
      <c r="E5" s="78"/>
    </row>
    <row r="6" spans="1:5" ht="17.25" customHeight="1" x14ac:dyDescent="0.2">
      <c r="A6" s="3" t="s">
        <v>14</v>
      </c>
      <c r="B6" s="1" t="s">
        <v>15</v>
      </c>
      <c r="C6" s="1" t="s">
        <v>16</v>
      </c>
      <c r="D6" s="23" t="s">
        <v>11</v>
      </c>
      <c r="E6" s="2" t="s">
        <v>17</v>
      </c>
    </row>
    <row r="7" spans="1:5" ht="17.25" customHeight="1" x14ac:dyDescent="0.2">
      <c r="A7" s="28" t="s">
        <v>18</v>
      </c>
      <c r="B7" s="58" t="s">
        <v>12</v>
      </c>
      <c r="C7" s="26" t="s">
        <v>12</v>
      </c>
      <c r="D7" s="71">
        <f>TRUNC(D4,2)</f>
        <v>3000</v>
      </c>
      <c r="E7" s="40"/>
    </row>
    <row r="8" spans="1:5" ht="16.5" customHeight="1" thickBot="1" x14ac:dyDescent="0.25">
      <c r="A8" s="4" t="s">
        <v>19</v>
      </c>
      <c r="B8" s="5" t="s">
        <v>12</v>
      </c>
      <c r="C8" s="6" t="s">
        <v>20</v>
      </c>
      <c r="D8" s="72">
        <f>SUM(D7:D7)</f>
        <v>3000</v>
      </c>
      <c r="E8" s="7" t="s">
        <v>12</v>
      </c>
    </row>
    <row r="9" spans="1:5" ht="13.5" customHeight="1" thickBot="1" x14ac:dyDescent="0.25">
      <c r="A9" s="41"/>
      <c r="B9" s="42"/>
      <c r="C9" s="43"/>
      <c r="D9" s="39"/>
      <c r="E9" s="78"/>
    </row>
    <row r="10" spans="1:5" ht="16.5" customHeight="1" thickBot="1" x14ac:dyDescent="0.25">
      <c r="A10" s="155" t="s">
        <v>21</v>
      </c>
      <c r="B10" s="156"/>
      <c r="C10" s="156"/>
      <c r="D10" s="156"/>
      <c r="E10" s="157"/>
    </row>
    <row r="11" spans="1:5" ht="16.5" customHeight="1" x14ac:dyDescent="0.2">
      <c r="A11" s="3" t="s">
        <v>22</v>
      </c>
      <c r="B11" s="1" t="s">
        <v>23</v>
      </c>
      <c r="C11" s="1" t="s">
        <v>16</v>
      </c>
      <c r="D11" s="23" t="s">
        <v>11</v>
      </c>
      <c r="E11" s="2" t="s">
        <v>17</v>
      </c>
    </row>
    <row r="12" spans="1:5" ht="16.5" customHeight="1" x14ac:dyDescent="0.2">
      <c r="A12" s="28" t="s">
        <v>24</v>
      </c>
      <c r="B12" s="44">
        <v>0.2</v>
      </c>
      <c r="C12" s="26" t="s">
        <v>25</v>
      </c>
      <c r="D12" s="73">
        <f>TRUNC(B12*$D$8,2)</f>
        <v>600</v>
      </c>
      <c r="E12" s="45" t="s">
        <v>26</v>
      </c>
    </row>
    <row r="13" spans="1:5" ht="16.5" customHeight="1" x14ac:dyDescent="0.2">
      <c r="A13" s="28" t="s">
        <v>27</v>
      </c>
      <c r="B13" s="44">
        <v>0.08</v>
      </c>
      <c r="C13" s="26" t="s">
        <v>28</v>
      </c>
      <c r="D13" s="73">
        <f t="shared" ref="D13:D19" si="0">TRUNC(B13*$D$8,2)</f>
        <v>240</v>
      </c>
      <c r="E13" s="46" t="s">
        <v>160</v>
      </c>
    </row>
    <row r="14" spans="1:5" ht="17.25" customHeight="1" x14ac:dyDescent="0.2">
      <c r="A14" s="28" t="s">
        <v>29</v>
      </c>
      <c r="B14" s="44">
        <v>1.4999999999999999E-2</v>
      </c>
      <c r="C14" s="26" t="s">
        <v>30</v>
      </c>
      <c r="D14" s="73">
        <f t="shared" si="0"/>
        <v>45</v>
      </c>
      <c r="E14" s="46" t="s">
        <v>31</v>
      </c>
    </row>
    <row r="15" spans="1:5" ht="17.25" customHeight="1" x14ac:dyDescent="0.2">
      <c r="A15" s="28" t="s">
        <v>32</v>
      </c>
      <c r="B15" s="44">
        <v>0.01</v>
      </c>
      <c r="C15" s="26" t="s">
        <v>33</v>
      </c>
      <c r="D15" s="73">
        <f t="shared" si="0"/>
        <v>30</v>
      </c>
      <c r="E15" s="46" t="s">
        <v>34</v>
      </c>
    </row>
    <row r="16" spans="1:5" ht="17.25" customHeight="1" x14ac:dyDescent="0.2">
      <c r="A16" s="28" t="s">
        <v>35</v>
      </c>
      <c r="B16" s="44">
        <v>2E-3</v>
      </c>
      <c r="C16" s="26" t="s">
        <v>36</v>
      </c>
      <c r="D16" s="73">
        <f t="shared" si="0"/>
        <v>6</v>
      </c>
      <c r="E16" s="46" t="s">
        <v>37</v>
      </c>
    </row>
    <row r="17" spans="1:5" ht="17.25" customHeight="1" x14ac:dyDescent="0.2">
      <c r="A17" s="28" t="s">
        <v>38</v>
      </c>
      <c r="B17" s="44">
        <v>6.0000000000000001E-3</v>
      </c>
      <c r="C17" s="26" t="s">
        <v>39</v>
      </c>
      <c r="D17" s="73">
        <f t="shared" si="0"/>
        <v>18</v>
      </c>
      <c r="E17" s="46" t="s">
        <v>161</v>
      </c>
    </row>
    <row r="18" spans="1:5" ht="17.25" customHeight="1" x14ac:dyDescent="0.2">
      <c r="A18" s="28" t="s">
        <v>41</v>
      </c>
      <c r="B18" s="44">
        <v>2.5000000000000001E-2</v>
      </c>
      <c r="C18" s="26" t="s">
        <v>42</v>
      </c>
      <c r="D18" s="73">
        <f t="shared" si="0"/>
        <v>75</v>
      </c>
      <c r="E18" s="46" t="s">
        <v>43</v>
      </c>
    </row>
    <row r="19" spans="1:5" ht="17.25" customHeight="1" x14ac:dyDescent="0.2">
      <c r="A19" s="47" t="s">
        <v>44</v>
      </c>
      <c r="B19" s="69">
        <f>'Quadro Resumo'!B31</f>
        <v>0</v>
      </c>
      <c r="C19" s="26" t="s">
        <v>45</v>
      </c>
      <c r="D19" s="73">
        <f t="shared" si="0"/>
        <v>0</v>
      </c>
      <c r="E19" s="46" t="s">
        <v>162</v>
      </c>
    </row>
    <row r="20" spans="1:5" ht="17.25" customHeight="1" thickBot="1" x14ac:dyDescent="0.25">
      <c r="A20" s="4" t="s">
        <v>46</v>
      </c>
      <c r="B20" s="33">
        <f>SUM(B12:B19)</f>
        <v>0.33800000000000008</v>
      </c>
      <c r="C20" s="5" t="s">
        <v>20</v>
      </c>
      <c r="D20" s="74">
        <f>SUM(D12:D19)</f>
        <v>1014</v>
      </c>
      <c r="E20" s="7" t="s">
        <v>12</v>
      </c>
    </row>
    <row r="21" spans="1:5" ht="13.5" thickBot="1" x14ac:dyDescent="0.25">
      <c r="A21" s="68"/>
      <c r="B21" s="78"/>
      <c r="C21" s="78"/>
      <c r="D21" s="39"/>
      <c r="E21" s="48"/>
    </row>
    <row r="22" spans="1:5" ht="15.75" customHeight="1" x14ac:dyDescent="0.2">
      <c r="A22" s="3" t="s">
        <v>82</v>
      </c>
      <c r="B22" s="1" t="s">
        <v>23</v>
      </c>
      <c r="C22" s="1" t="s">
        <v>16</v>
      </c>
      <c r="D22" s="23" t="s">
        <v>11</v>
      </c>
      <c r="E22" s="2" t="s">
        <v>17</v>
      </c>
    </row>
    <row r="23" spans="1:5" ht="15.75" customHeight="1" x14ac:dyDescent="0.2">
      <c r="A23" s="28" t="s">
        <v>47</v>
      </c>
      <c r="B23" s="44">
        <f>(1/12)</f>
        <v>8.3333333333333329E-2</v>
      </c>
      <c r="C23" s="26" t="s">
        <v>88</v>
      </c>
      <c r="D23" s="73">
        <f>TRUNC(B23*$D$8,2)</f>
        <v>250</v>
      </c>
      <c r="E23" s="46" t="s">
        <v>48</v>
      </c>
    </row>
    <row r="24" spans="1:5" ht="15.75" customHeight="1" x14ac:dyDescent="0.2">
      <c r="A24" s="29" t="s">
        <v>80</v>
      </c>
      <c r="B24" s="49">
        <f>B20*B23</f>
        <v>2.8166666666666673E-2</v>
      </c>
      <c r="C24" s="58" t="s">
        <v>89</v>
      </c>
      <c r="D24" s="73">
        <f>TRUNC(B24*$D$8,2)</f>
        <v>84.5</v>
      </c>
      <c r="E24" s="62" t="s">
        <v>163</v>
      </c>
    </row>
    <row r="25" spans="1:5" ht="16.5" customHeight="1" thickBot="1" x14ac:dyDescent="0.25">
      <c r="A25" s="4" t="s">
        <v>49</v>
      </c>
      <c r="B25" s="33">
        <f>SUM(B23:B24)</f>
        <v>0.1115</v>
      </c>
      <c r="C25" s="5" t="s">
        <v>20</v>
      </c>
      <c r="D25" s="74">
        <f>SUM(D23:D24)</f>
        <v>334.5</v>
      </c>
      <c r="E25" s="7" t="s">
        <v>12</v>
      </c>
    </row>
    <row r="26" spans="1:5" ht="13.5" thickBot="1" x14ac:dyDescent="0.25">
      <c r="A26" s="50"/>
      <c r="B26" s="51"/>
      <c r="C26" s="51"/>
      <c r="D26" s="52"/>
      <c r="E26" s="53"/>
    </row>
    <row r="27" spans="1:5" ht="17.25" customHeight="1" x14ac:dyDescent="0.2">
      <c r="A27" s="3" t="s">
        <v>50</v>
      </c>
      <c r="B27" s="1" t="s">
        <v>23</v>
      </c>
      <c r="C27" s="1" t="s">
        <v>16</v>
      </c>
      <c r="D27" s="23" t="s">
        <v>11</v>
      </c>
      <c r="E27" s="2" t="s">
        <v>17</v>
      </c>
    </row>
    <row r="28" spans="1:5" ht="16.5" customHeight="1" x14ac:dyDescent="0.2">
      <c r="A28" s="28" t="s">
        <v>51</v>
      </c>
      <c r="B28" s="44">
        <f>1/12</f>
        <v>8.3333333333333329E-2</v>
      </c>
      <c r="C28" s="26" t="s">
        <v>88</v>
      </c>
      <c r="D28" s="73">
        <f t="shared" ref="D28:D35" si="1">TRUNC(B28*$D$8,2)</f>
        <v>250</v>
      </c>
      <c r="E28" s="46" t="s">
        <v>79</v>
      </c>
    </row>
    <row r="29" spans="1:5" ht="16.5" customHeight="1" x14ac:dyDescent="0.2">
      <c r="A29" s="28" t="s">
        <v>81</v>
      </c>
      <c r="B29" s="54">
        <f>(1/3)/12</f>
        <v>2.7777777777777776E-2</v>
      </c>
      <c r="C29" s="26" t="s">
        <v>95</v>
      </c>
      <c r="D29" s="73">
        <f t="shared" si="1"/>
        <v>83.33</v>
      </c>
      <c r="E29" s="46" t="s">
        <v>79</v>
      </c>
    </row>
    <row r="30" spans="1:5" ht="29.25" customHeight="1" x14ac:dyDescent="0.2">
      <c r="A30" s="28" t="s">
        <v>106</v>
      </c>
      <c r="B30" s="69">
        <f>D30/D8</f>
        <v>2.0886666666666664E-2</v>
      </c>
      <c r="C30" s="80" t="s">
        <v>150</v>
      </c>
      <c r="D30" s="71">
        <f>TRUNC((D63-(D57+D58))/12,2)</f>
        <v>62.66</v>
      </c>
      <c r="E30" s="46" t="s">
        <v>105</v>
      </c>
    </row>
    <row r="31" spans="1:5" ht="16.5" customHeight="1" x14ac:dyDescent="0.2">
      <c r="A31" s="28" t="s">
        <v>107</v>
      </c>
      <c r="B31" s="44">
        <f>(5.96/30)/12</f>
        <v>1.6555555555555556E-2</v>
      </c>
      <c r="C31" s="26" t="s">
        <v>99</v>
      </c>
      <c r="D31" s="73">
        <f t="shared" si="1"/>
        <v>49.66</v>
      </c>
      <c r="E31" s="46" t="s">
        <v>157</v>
      </c>
    </row>
    <row r="32" spans="1:5" ht="16.5" customHeight="1" x14ac:dyDescent="0.2">
      <c r="A32" s="28" t="s">
        <v>111</v>
      </c>
      <c r="B32" s="44">
        <f>(((15/30)/12)*0.00743)</f>
        <v>3.0958333333333331E-4</v>
      </c>
      <c r="C32" s="55" t="s">
        <v>201</v>
      </c>
      <c r="D32" s="73">
        <f t="shared" si="1"/>
        <v>0.92</v>
      </c>
      <c r="E32" s="46" t="s">
        <v>52</v>
      </c>
    </row>
    <row r="33" spans="1:5" ht="16.5" customHeight="1" x14ac:dyDescent="0.2">
      <c r="A33" s="28" t="s">
        <v>112</v>
      </c>
      <c r="B33" s="44">
        <f>(2.96/30)/12</f>
        <v>8.2222222222222228E-3</v>
      </c>
      <c r="C33" s="36" t="s">
        <v>101</v>
      </c>
      <c r="D33" s="73">
        <f t="shared" si="1"/>
        <v>24.66</v>
      </c>
      <c r="E33" s="46" t="s">
        <v>53</v>
      </c>
    </row>
    <row r="34" spans="1:5" ht="16.5" customHeight="1" x14ac:dyDescent="0.2">
      <c r="A34" s="28" t="s">
        <v>113</v>
      </c>
      <c r="B34" s="44">
        <f>((5/30)/12)*0.557*0.01092</f>
        <v>8.447833333333332E-5</v>
      </c>
      <c r="C34" s="30" t="s">
        <v>197</v>
      </c>
      <c r="D34" s="73">
        <f t="shared" si="1"/>
        <v>0.25</v>
      </c>
      <c r="E34" s="46" t="s">
        <v>156</v>
      </c>
    </row>
    <row r="35" spans="1:5" ht="16.5" customHeight="1" x14ac:dyDescent="0.2">
      <c r="A35" s="28" t="s">
        <v>114</v>
      </c>
      <c r="B35" s="56">
        <f>(7/30)/12*0.9445</f>
        <v>1.8365277777777779E-2</v>
      </c>
      <c r="C35" s="80" t="s">
        <v>145</v>
      </c>
      <c r="D35" s="73">
        <f t="shared" si="1"/>
        <v>55.09</v>
      </c>
      <c r="E35" s="62" t="s">
        <v>61</v>
      </c>
    </row>
    <row r="36" spans="1:5" ht="35.450000000000003" customHeight="1" x14ac:dyDescent="0.2">
      <c r="A36" s="28" t="s">
        <v>115</v>
      </c>
      <c r="B36" s="56">
        <f>D36/D8</f>
        <v>5.8333333333333338E-4</v>
      </c>
      <c r="C36" s="80" t="s">
        <v>198</v>
      </c>
      <c r="D36" s="71">
        <f>TRUNC((((D8*(1+(1/3)))/12)+(D63-(D57+D58)))*(4/12)*0.01092*0.443,2)</f>
        <v>1.75</v>
      </c>
      <c r="E36" s="46" t="s">
        <v>79</v>
      </c>
    </row>
    <row r="37" spans="1:5" ht="29.25" customHeight="1" x14ac:dyDescent="0.2">
      <c r="A37" s="47" t="s">
        <v>116</v>
      </c>
      <c r="B37" s="44">
        <f>B20*SUM(B28,B29,B31,B32,B33,B34,B35)</f>
        <v>5.2271101176666668E-2</v>
      </c>
      <c r="C37" s="80" t="s">
        <v>124</v>
      </c>
      <c r="D37" s="73">
        <f>TRUNC(B37*$D$8,2)</f>
        <v>156.81</v>
      </c>
      <c r="E37" s="62" t="s">
        <v>83</v>
      </c>
    </row>
    <row r="38" spans="1:5" ht="27.75" customHeight="1" x14ac:dyDescent="0.2">
      <c r="A38" s="47" t="s">
        <v>118</v>
      </c>
      <c r="B38" s="56">
        <f>B20*B36</f>
        <v>1.9716666666666672E-4</v>
      </c>
      <c r="C38" s="30" t="s">
        <v>120</v>
      </c>
      <c r="D38" s="73">
        <f>TRUNC(B38*$D$8,2)</f>
        <v>0.59</v>
      </c>
      <c r="E38" s="46" t="s">
        <v>54</v>
      </c>
    </row>
    <row r="39" spans="1:5" ht="16.5" customHeight="1" thickBot="1" x14ac:dyDescent="0.25">
      <c r="A39" s="4" t="s">
        <v>55</v>
      </c>
      <c r="B39" s="33">
        <f>SUM(B28:B38)</f>
        <v>0.22858649617666663</v>
      </c>
      <c r="C39" s="5" t="s">
        <v>20</v>
      </c>
      <c r="D39" s="89">
        <f>SUM(D28:D38)</f>
        <v>685.72000000000014</v>
      </c>
      <c r="E39" s="7" t="s">
        <v>12</v>
      </c>
    </row>
    <row r="40" spans="1:5" ht="30.75" customHeight="1" x14ac:dyDescent="0.2">
      <c r="A40" s="100" t="s">
        <v>117</v>
      </c>
      <c r="B40" s="100" t="s">
        <v>109</v>
      </c>
      <c r="C40" s="101"/>
      <c r="D40" s="165" t="s">
        <v>193</v>
      </c>
      <c r="E40" s="166"/>
    </row>
    <row r="41" spans="1:5" ht="16.5" customHeight="1" x14ac:dyDescent="0.2">
      <c r="A41" s="100" t="s">
        <v>108</v>
      </c>
      <c r="B41" s="160" t="s">
        <v>195</v>
      </c>
      <c r="C41" s="161"/>
      <c r="D41" s="161"/>
      <c r="E41" s="45"/>
    </row>
    <row r="42" spans="1:5" ht="16.5" customHeight="1" thickBot="1" x14ac:dyDescent="0.25">
      <c r="A42" s="76" t="s">
        <v>199</v>
      </c>
      <c r="B42" s="100" t="s">
        <v>110</v>
      </c>
      <c r="C42" s="102"/>
      <c r="D42" s="97"/>
      <c r="E42" s="98"/>
    </row>
    <row r="43" spans="1:5" ht="16.5" customHeight="1" x14ac:dyDescent="0.2">
      <c r="A43" s="3" t="s">
        <v>56</v>
      </c>
      <c r="B43" s="1" t="s">
        <v>23</v>
      </c>
      <c r="C43" s="1" t="s">
        <v>16</v>
      </c>
      <c r="D43" s="23" t="s">
        <v>11</v>
      </c>
      <c r="E43" s="2" t="s">
        <v>17</v>
      </c>
    </row>
    <row r="44" spans="1:5" ht="16.5" customHeight="1" x14ac:dyDescent="0.2">
      <c r="A44" s="29" t="s">
        <v>57</v>
      </c>
      <c r="B44" s="57">
        <f>(1/12)*0.0555</f>
        <v>4.6249999999999998E-3</v>
      </c>
      <c r="C44" s="81" t="s">
        <v>142</v>
      </c>
      <c r="D44" s="90">
        <f>TRUNC(B44*$D$8,2)</f>
        <v>13.87</v>
      </c>
      <c r="E44" s="79" t="s">
        <v>58</v>
      </c>
    </row>
    <row r="45" spans="1:5" ht="16.5" customHeight="1" x14ac:dyDescent="0.2">
      <c r="A45" s="29" t="s">
        <v>59</v>
      </c>
      <c r="B45" s="59">
        <f>(1/12)*0.0555*0.08</f>
        <v>3.6999999999999999E-4</v>
      </c>
      <c r="C45" s="58" t="s">
        <v>146</v>
      </c>
      <c r="D45" s="90">
        <f>TRUNC(B45*$D$8,2)</f>
        <v>1.1100000000000001</v>
      </c>
      <c r="E45" s="79" t="s">
        <v>60</v>
      </c>
    </row>
    <row r="46" spans="1:5" ht="16.5" customHeight="1" x14ac:dyDescent="0.2">
      <c r="A46" s="28" t="s">
        <v>102</v>
      </c>
      <c r="B46" s="60">
        <f>0.4*0.08</f>
        <v>3.2000000000000001E-2</v>
      </c>
      <c r="C46" s="30" t="s">
        <v>127</v>
      </c>
      <c r="D46" s="90">
        <f>TRUNC(B46*$D$8,2)</f>
        <v>96</v>
      </c>
      <c r="E46" s="79" t="s">
        <v>84</v>
      </c>
    </row>
    <row r="47" spans="1:5" ht="17.25" customHeight="1" x14ac:dyDescent="0.2">
      <c r="A47" s="28" t="s">
        <v>103</v>
      </c>
      <c r="B47" s="95">
        <f>(1/12)*0.01</f>
        <v>8.3333333333333328E-4</v>
      </c>
      <c r="C47" s="96" t="s">
        <v>122</v>
      </c>
      <c r="D47" s="90">
        <f>TRUNC(B47*$D$8,2)</f>
        <v>2.5</v>
      </c>
      <c r="E47" s="62" t="s">
        <v>87</v>
      </c>
    </row>
    <row r="48" spans="1:5" ht="17.25" customHeight="1" x14ac:dyDescent="0.2">
      <c r="A48" s="29" t="s">
        <v>104</v>
      </c>
      <c r="B48" s="56">
        <f>0.08*B32</f>
        <v>2.4766666666666664E-5</v>
      </c>
      <c r="C48" s="81" t="s">
        <v>123</v>
      </c>
      <c r="D48" s="90">
        <f>TRUNC(B48*$D$8,2)</f>
        <v>7.0000000000000007E-2</v>
      </c>
      <c r="E48" s="79" t="s">
        <v>158</v>
      </c>
    </row>
    <row r="49" spans="1:5" ht="17.25" customHeight="1" thickBot="1" x14ac:dyDescent="0.25">
      <c r="A49" s="4" t="s">
        <v>62</v>
      </c>
      <c r="B49" s="33">
        <f>SUM(B44:B48)</f>
        <v>3.7853100000000001E-2</v>
      </c>
      <c r="C49" s="5" t="s">
        <v>20</v>
      </c>
      <c r="D49" s="74">
        <f>SUM(D44:D48)</f>
        <v>113.55</v>
      </c>
      <c r="E49" s="7" t="s">
        <v>12</v>
      </c>
    </row>
    <row r="50" spans="1:5" ht="13.5" x14ac:dyDescent="0.2">
      <c r="A50" s="91" t="s">
        <v>138</v>
      </c>
      <c r="B50" s="158" t="s">
        <v>139</v>
      </c>
      <c r="C50" s="158"/>
      <c r="D50" s="158"/>
      <c r="E50" s="159"/>
    </row>
    <row r="51" spans="1:5" ht="14.25" thickBot="1" x14ac:dyDescent="0.25">
      <c r="A51" s="77" t="s">
        <v>128</v>
      </c>
      <c r="B51" s="173" t="s">
        <v>147</v>
      </c>
      <c r="C51" s="160"/>
      <c r="D51" s="160"/>
      <c r="E51" s="174"/>
    </row>
    <row r="52" spans="1:5" ht="16.5" customHeight="1" thickBot="1" x14ac:dyDescent="0.25">
      <c r="A52" s="8" t="s">
        <v>63</v>
      </c>
      <c r="B52" s="87">
        <f>SUM(B49,B39,B25,B20)</f>
        <v>0.71593959617666669</v>
      </c>
      <c r="C52" s="10" t="s">
        <v>64</v>
      </c>
      <c r="D52" s="88">
        <f>SUM(D20,D25,D39,D49)</f>
        <v>2147.7700000000004</v>
      </c>
      <c r="E52" s="11" t="s">
        <v>12</v>
      </c>
    </row>
    <row r="53" spans="1:5" ht="13.5" thickBot="1" x14ac:dyDescent="0.25">
      <c r="A53" s="78"/>
      <c r="B53" s="78"/>
      <c r="C53" s="78"/>
      <c r="D53" s="61"/>
      <c r="E53" s="78"/>
    </row>
    <row r="54" spans="1:5" ht="16.5" customHeight="1" thickBot="1" x14ac:dyDescent="0.25">
      <c r="A54" s="155" t="s">
        <v>154</v>
      </c>
      <c r="B54" s="156"/>
      <c r="C54" s="156"/>
      <c r="D54" s="156"/>
      <c r="E54" s="157"/>
    </row>
    <row r="55" spans="1:5" ht="17.25" customHeight="1" x14ac:dyDescent="0.2">
      <c r="A55" s="3" t="s">
        <v>151</v>
      </c>
      <c r="B55" s="84" t="s">
        <v>11</v>
      </c>
      <c r="C55" s="1" t="s">
        <v>16</v>
      </c>
      <c r="D55" s="23" t="s">
        <v>11</v>
      </c>
      <c r="E55" s="2" t="s">
        <v>17</v>
      </c>
    </row>
    <row r="56" spans="1:5" ht="25.5" x14ac:dyDescent="0.2">
      <c r="A56" s="28" t="s">
        <v>159</v>
      </c>
      <c r="B56" s="85">
        <v>34.18</v>
      </c>
      <c r="C56" s="26" t="str">
        <f>B56 &amp; " * 22"</f>
        <v>34,18 * 22</v>
      </c>
      <c r="D56" s="71">
        <f>TRUNC(B56*22,2)</f>
        <v>751.96</v>
      </c>
      <c r="E56" s="27" t="s">
        <v>185</v>
      </c>
    </row>
    <row r="57" spans="1:5" ht="25.5" x14ac:dyDescent="0.2">
      <c r="A57" s="28" t="s">
        <v>85</v>
      </c>
      <c r="B57" s="85">
        <v>5.25</v>
      </c>
      <c r="C57" s="26" t="str">
        <f>B57&amp; " * 4 * 22"</f>
        <v>5,25 * 4 * 22</v>
      </c>
      <c r="D57" s="71">
        <f>TRUNC(B57*22*4,2)</f>
        <v>462</v>
      </c>
      <c r="E57" s="27" t="s">
        <v>186</v>
      </c>
    </row>
    <row r="58" spans="1:5" ht="17.25" customHeight="1" x14ac:dyDescent="0.2">
      <c r="A58" s="28" t="s">
        <v>86</v>
      </c>
      <c r="B58" s="85">
        <f>D58</f>
        <v>-180</v>
      </c>
      <c r="C58" s="26" t="s">
        <v>65</v>
      </c>
      <c r="D58" s="71">
        <f>IF(D57&gt;=TRUNC(0.06*D7,2),TRUNC(-0.06*D7,2),-D57)</f>
        <v>-180</v>
      </c>
      <c r="E58" s="62" t="s">
        <v>90</v>
      </c>
    </row>
    <row r="59" spans="1:5" ht="17.25" customHeight="1" x14ac:dyDescent="0.2">
      <c r="A59" s="28" t="s">
        <v>75</v>
      </c>
      <c r="B59" s="85">
        <f>'Quadro Resumo'!B26</f>
        <v>0</v>
      </c>
      <c r="C59" s="26" t="str">
        <f>B59 &amp; " * 3"</f>
        <v>0 * 3</v>
      </c>
      <c r="D59" s="71">
        <f>ROUND(B59*3,2)</f>
        <v>0</v>
      </c>
      <c r="E59" s="132" t="s">
        <v>166</v>
      </c>
    </row>
    <row r="60" spans="1:5" ht="17.25" customHeight="1" x14ac:dyDescent="0.2">
      <c r="A60" s="68" t="s">
        <v>126</v>
      </c>
      <c r="B60" s="136">
        <f>'Quadro Resumo'!B27</f>
        <v>0</v>
      </c>
      <c r="C60" s="58" t="str">
        <f>B60&amp;" * 3/12"</f>
        <v>0 * 3/12</v>
      </c>
      <c r="D60" s="90">
        <f>ROUND(B60*3/12,2)</f>
        <v>0</v>
      </c>
      <c r="E60" s="137" t="s">
        <v>166</v>
      </c>
    </row>
    <row r="61" spans="1:5" ht="33.75" customHeight="1" x14ac:dyDescent="0.2">
      <c r="A61" s="138" t="s">
        <v>178</v>
      </c>
      <c r="B61" s="133">
        <f>ROUNDUP('CUSTOS DE VALOR SUBJETIVO'!B9/12,2)</f>
        <v>0</v>
      </c>
      <c r="C61" s="30" t="s">
        <v>135</v>
      </c>
      <c r="D61" s="71">
        <f>B61</f>
        <v>0</v>
      </c>
      <c r="E61" s="132" t="s">
        <v>179</v>
      </c>
    </row>
    <row r="62" spans="1:5" ht="31.5" customHeight="1" x14ac:dyDescent="0.2">
      <c r="A62" s="29" t="s">
        <v>130</v>
      </c>
      <c r="B62" s="85">
        <f>ROUNDUP('CUSTOS DE VALOR SUBJETIVO'!B17/12,2)</f>
        <v>0</v>
      </c>
      <c r="C62" s="58" t="s">
        <v>135</v>
      </c>
      <c r="D62" s="75">
        <f>B62</f>
        <v>0</v>
      </c>
      <c r="E62" s="82" t="s">
        <v>94</v>
      </c>
    </row>
    <row r="63" spans="1:5" ht="17.25" customHeight="1" thickBot="1" x14ac:dyDescent="0.25">
      <c r="A63" s="4" t="s">
        <v>96</v>
      </c>
      <c r="B63" s="86"/>
      <c r="C63" s="5" t="s">
        <v>20</v>
      </c>
      <c r="D63" s="74">
        <f>SUM(D56:D62)</f>
        <v>1033.96</v>
      </c>
      <c r="E63" s="7" t="s">
        <v>12</v>
      </c>
    </row>
    <row r="64" spans="1:5" ht="16.5" customHeight="1" x14ac:dyDescent="0.2">
      <c r="A64" s="175" t="s">
        <v>167</v>
      </c>
      <c r="B64" s="176"/>
      <c r="C64" s="176"/>
      <c r="D64" s="176"/>
      <c r="E64" s="176"/>
    </row>
    <row r="65" spans="1:5" ht="13.5" thickBot="1" x14ac:dyDescent="0.25">
      <c r="A65" s="177"/>
      <c r="B65" s="177"/>
      <c r="C65" s="177"/>
      <c r="D65" s="177"/>
      <c r="E65" s="177"/>
    </row>
    <row r="66" spans="1:5" ht="26.25" customHeight="1" thickBot="1" x14ac:dyDescent="0.25">
      <c r="A66" s="12" t="s">
        <v>66</v>
      </c>
      <c r="B66" s="9" t="s">
        <v>12</v>
      </c>
      <c r="C66" s="9" t="s">
        <v>67</v>
      </c>
      <c r="D66" s="32">
        <f>SUM(D8,D52,D63)</f>
        <v>6181.7300000000005</v>
      </c>
      <c r="E66" s="11" t="s">
        <v>12</v>
      </c>
    </row>
    <row r="67" spans="1:5" ht="13.5" thickBot="1" x14ac:dyDescent="0.25">
      <c r="A67" s="63"/>
      <c r="B67" s="64"/>
      <c r="C67" s="64"/>
      <c r="D67" s="65"/>
      <c r="E67" s="66"/>
    </row>
    <row r="68" spans="1:5" ht="17.25" customHeight="1" x14ac:dyDescent="0.2">
      <c r="A68" s="3" t="s">
        <v>119</v>
      </c>
      <c r="B68" s="1" t="s">
        <v>23</v>
      </c>
      <c r="C68" s="1" t="s">
        <v>16</v>
      </c>
      <c r="D68" s="23" t="s">
        <v>11</v>
      </c>
      <c r="E68" s="2" t="s">
        <v>17</v>
      </c>
    </row>
    <row r="69" spans="1:5" ht="17.25" customHeight="1" x14ac:dyDescent="0.2">
      <c r="A69" s="28" t="s">
        <v>98</v>
      </c>
      <c r="B69" s="69">
        <f>'Quadro Resumo'!B21</f>
        <v>0</v>
      </c>
      <c r="C69" s="134" t="s">
        <v>12</v>
      </c>
      <c r="D69" s="83">
        <f>TRUNC(B69*D66,2)</f>
        <v>0</v>
      </c>
      <c r="E69" s="40" t="s">
        <v>12</v>
      </c>
    </row>
    <row r="70" spans="1:5" ht="30.75" customHeight="1" x14ac:dyDescent="0.2">
      <c r="A70" s="28" t="s">
        <v>6</v>
      </c>
      <c r="B70" s="69">
        <f>'Quadro Resumo'!B22</f>
        <v>0</v>
      </c>
      <c r="C70" s="26" t="s">
        <v>135</v>
      </c>
      <c r="D70" s="83">
        <f>TRUNC(B70*D66,2)</f>
        <v>0</v>
      </c>
      <c r="E70" s="27" t="s">
        <v>136</v>
      </c>
    </row>
    <row r="71" spans="1:5" ht="16.5" customHeight="1" thickBot="1" x14ac:dyDescent="0.25">
      <c r="A71" s="4" t="s">
        <v>68</v>
      </c>
      <c r="B71" s="33">
        <f>SUM(B69:B70)</f>
        <v>0</v>
      </c>
      <c r="C71" s="5" t="s">
        <v>20</v>
      </c>
      <c r="D71" s="72">
        <f>SUM(D69:D70)</f>
        <v>0</v>
      </c>
      <c r="E71" s="7" t="s">
        <v>12</v>
      </c>
    </row>
    <row r="72" spans="1:5" ht="24" customHeight="1" thickBot="1" x14ac:dyDescent="0.25">
      <c r="A72" s="92"/>
      <c r="B72" s="78"/>
      <c r="C72" s="78"/>
      <c r="D72" s="39"/>
      <c r="E72" s="78"/>
    </row>
    <row r="73" spans="1:5" ht="16.5" customHeight="1" x14ac:dyDescent="0.2">
      <c r="A73" s="13" t="s">
        <v>69</v>
      </c>
      <c r="B73" s="1" t="s">
        <v>23</v>
      </c>
      <c r="C73" s="1" t="s">
        <v>16</v>
      </c>
      <c r="D73" s="23" t="s">
        <v>11</v>
      </c>
      <c r="E73" s="2" t="s">
        <v>17</v>
      </c>
    </row>
    <row r="74" spans="1:5" ht="16.5" customHeight="1" x14ac:dyDescent="0.2">
      <c r="A74" s="28" t="s">
        <v>7</v>
      </c>
      <c r="B74" s="69">
        <f>'Quadro Resumo'!B34</f>
        <v>0</v>
      </c>
      <c r="C74" s="171" t="s">
        <v>97</v>
      </c>
      <c r="D74" s="73">
        <f>TRUNC((($D$66+$D$71)/(1-(($B$74+$B$75+$B$76))))*(B74),2)</f>
        <v>0</v>
      </c>
      <c r="E74" s="62" t="s">
        <v>93</v>
      </c>
    </row>
    <row r="75" spans="1:5" ht="16.5" customHeight="1" x14ac:dyDescent="0.2">
      <c r="A75" s="28" t="s">
        <v>8</v>
      </c>
      <c r="B75" s="69">
        <f>'Quadro Resumo'!B35</f>
        <v>0</v>
      </c>
      <c r="C75" s="172"/>
      <c r="D75" s="73">
        <f>TRUNC((($D$66+$D$71)/(1-(($B$74+$B$75+$B$76))))*(B75),2)</f>
        <v>0</v>
      </c>
      <c r="E75" s="27" t="s">
        <v>92</v>
      </c>
    </row>
    <row r="76" spans="1:5" ht="16.5" customHeight="1" x14ac:dyDescent="0.2">
      <c r="A76" s="28" t="s">
        <v>9</v>
      </c>
      <c r="B76" s="69">
        <f>'Quadro Resumo'!B36</f>
        <v>0</v>
      </c>
      <c r="C76" s="172"/>
      <c r="D76" s="73">
        <f>TRUNC((($D$66+$D$71)/(1-(($B$74+$B$75+$B$76))))*(B76),2)</f>
        <v>0</v>
      </c>
      <c r="E76" s="62" t="s">
        <v>91</v>
      </c>
    </row>
    <row r="77" spans="1:5" ht="16.5" customHeight="1" thickBot="1" x14ac:dyDescent="0.25">
      <c r="A77" s="4" t="s">
        <v>70</v>
      </c>
      <c r="B77" s="33">
        <f>SUM(B74:B76)</f>
        <v>0</v>
      </c>
      <c r="C77" s="5" t="s">
        <v>20</v>
      </c>
      <c r="D77" s="74">
        <f>SUM(D74:D76)</f>
        <v>0</v>
      </c>
      <c r="E77" s="7" t="s">
        <v>12</v>
      </c>
    </row>
    <row r="78" spans="1:5" ht="13.5" thickBot="1" x14ac:dyDescent="0.25">
      <c r="A78" s="68"/>
      <c r="B78" s="78"/>
      <c r="C78" s="78"/>
      <c r="D78" s="39"/>
      <c r="E78" s="78"/>
    </row>
    <row r="79" spans="1:5" ht="16.5" customHeight="1" thickBot="1" x14ac:dyDescent="0.25">
      <c r="A79" s="14" t="s">
        <v>172</v>
      </c>
      <c r="B79" s="15" t="s">
        <v>12</v>
      </c>
      <c r="C79" s="1" t="s">
        <v>16</v>
      </c>
      <c r="D79" s="24" t="s">
        <v>72</v>
      </c>
      <c r="E79" s="2" t="s">
        <v>73</v>
      </c>
    </row>
    <row r="80" spans="1:5" ht="16.5" customHeight="1" thickBot="1" x14ac:dyDescent="0.25">
      <c r="A80" s="16"/>
      <c r="B80" s="17" t="s">
        <v>12</v>
      </c>
      <c r="C80" s="17" t="s">
        <v>74</v>
      </c>
      <c r="D80" s="94">
        <f>TRUNC(SUM(D66,D71,D77),2)</f>
        <v>6181.73</v>
      </c>
      <c r="E80" s="31">
        <f>D80*12</f>
        <v>74180.759999999995</v>
      </c>
    </row>
    <row r="81" spans="1:5" ht="13.5" thickBot="1" x14ac:dyDescent="0.25">
      <c r="A81" s="34"/>
      <c r="B81" s="34"/>
      <c r="C81" s="34"/>
      <c r="D81" s="67"/>
      <c r="E81" s="34"/>
    </row>
    <row r="82" spans="1:5" ht="17.25" customHeight="1" x14ac:dyDescent="0.2">
      <c r="A82" s="14" t="s">
        <v>171</v>
      </c>
      <c r="B82" s="135" t="s">
        <v>12</v>
      </c>
      <c r="C82" s="141" t="s">
        <v>16</v>
      </c>
      <c r="D82" s="24" t="s">
        <v>11</v>
      </c>
      <c r="E82" s="142" t="s">
        <v>205</v>
      </c>
    </row>
    <row r="83" spans="1:5" ht="20.25" customHeight="1" x14ac:dyDescent="0.2">
      <c r="A83" s="28" t="s">
        <v>172</v>
      </c>
      <c r="B83" s="73">
        <f>E80</f>
        <v>74180.759999999995</v>
      </c>
      <c r="C83" s="169" t="s">
        <v>206</v>
      </c>
      <c r="D83" s="144">
        <f>B83*5</f>
        <v>370903.8</v>
      </c>
      <c r="E83" s="167">
        <f>D83+D84</f>
        <v>370903.8</v>
      </c>
    </row>
    <row r="84" spans="1:5" ht="27.75" customHeight="1" thickBot="1" x14ac:dyDescent="0.25">
      <c r="A84" s="145" t="s">
        <v>203</v>
      </c>
      <c r="B84" s="70">
        <f>'Quadro Resumo'!C17</f>
        <v>0</v>
      </c>
      <c r="C84" s="170"/>
      <c r="D84" s="146">
        <f>'Quadro Resumo'!C17</f>
        <v>0</v>
      </c>
      <c r="E84" s="168"/>
    </row>
  </sheetData>
  <sheetProtection algorithmName="SHA-512" hashValue="N+3HVLWXmgACYucmOxsDyu7BKsKD4KOKJ6106O/ycTmd/0dpl3HV0+L6sNVpS94MAC3G3kiKt2whp/4YOwfomg==" saltValue="b0lvUDY4ON3ghGm/2n5e4g==" spinCount="100000" sheet="1" objects="1" scenarios="1"/>
  <mergeCells count="12">
    <mergeCell ref="E83:E84"/>
    <mergeCell ref="C83:C84"/>
    <mergeCell ref="A54:E54"/>
    <mergeCell ref="C74:C76"/>
    <mergeCell ref="B51:E51"/>
    <mergeCell ref="A64:E65"/>
    <mergeCell ref="A1:E1"/>
    <mergeCell ref="A10:E10"/>
    <mergeCell ref="B50:E50"/>
    <mergeCell ref="B41:D41"/>
    <mergeCell ref="A3:C3"/>
    <mergeCell ref="D40:E40"/>
  </mergeCells>
  <conditionalFormatting sqref="B62">
    <cfRule type="expression" dxfId="6" priority="12">
      <formula>ISBLANK($B$62)</formula>
    </cfRule>
  </conditionalFormatting>
  <pageMargins left="0.51181102362204722" right="0.51181102362204722" top="0.78740157480314965" bottom="0.78740157480314965" header="0.31496062992125984" footer="0.31496062992125984"/>
  <pageSetup paperSize="9" scale="42" orientation="portrait" r:id="rId1"/>
  <ignoredErrors>
    <ignoredError sqref="D3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3">
    <tabColor theme="2" tint="-0.749992370372631"/>
    <pageSetUpPr fitToPage="1"/>
  </sheetPr>
  <dimension ref="A1:E84"/>
  <sheetViews>
    <sheetView showGridLines="0" zoomScale="90" zoomScaleNormal="90" workbookViewId="0">
      <selection activeCell="D57" sqref="D57"/>
    </sheetView>
  </sheetViews>
  <sheetFormatPr defaultColWidth="9.140625" defaultRowHeight="12.75" x14ac:dyDescent="0.2"/>
  <cols>
    <col min="1" max="1" width="70.140625" style="21" customWidth="1"/>
    <col min="2" max="2" width="15.140625" style="21" customWidth="1"/>
    <col min="3" max="3" width="64.5703125" style="21" customWidth="1"/>
    <col min="4" max="4" width="13.5703125" style="25" customWidth="1"/>
    <col min="5" max="5" width="57.85546875" style="21" customWidth="1"/>
    <col min="6" max="6" width="1.7109375" style="21" customWidth="1"/>
    <col min="7" max="16384" width="9.140625" style="21"/>
  </cols>
  <sheetData>
    <row r="1" spans="1:5" ht="20.25" thickBot="1" x14ac:dyDescent="0.25">
      <c r="A1" s="152" t="str">
        <f>"PLANILHA DE COMPOSIÇÃO DE CUSTOS E FORMAÇÃO DE PREÇOS - " &amp; 'Quadro Resumo'!A8</f>
        <v>PLANILHA DE COMPOSIÇÃO DE CUSTOS E FORMAÇÃO DE PREÇOS - Assistente administrativo e contábil I</v>
      </c>
      <c r="B1" s="153"/>
      <c r="C1" s="153"/>
      <c r="D1" s="153"/>
      <c r="E1" s="154"/>
    </row>
    <row r="2" spans="1:5" ht="20.25" thickBot="1" x14ac:dyDescent="0.25">
      <c r="A2" s="18"/>
      <c r="B2" s="19"/>
      <c r="C2" s="19"/>
      <c r="D2" s="22"/>
      <c r="E2" s="20"/>
    </row>
    <row r="3" spans="1:5" ht="17.25" customHeight="1" x14ac:dyDescent="0.2">
      <c r="A3" s="162" t="s">
        <v>155</v>
      </c>
      <c r="B3" s="163"/>
      <c r="C3" s="164"/>
      <c r="D3" s="1" t="s">
        <v>11</v>
      </c>
      <c r="E3" s="1" t="s">
        <v>12</v>
      </c>
    </row>
    <row r="4" spans="1:5" ht="17.25" customHeight="1" thickBot="1" x14ac:dyDescent="0.25">
      <c r="A4" s="35" t="str">
        <f>'Quadro Resumo'!A8</f>
        <v>Assistente administrativo e contábil I</v>
      </c>
      <c r="B4" s="37"/>
      <c r="C4" s="37" t="s">
        <v>13</v>
      </c>
      <c r="D4" s="70">
        <f>'Quadro Resumo'!B8</f>
        <v>4500</v>
      </c>
      <c r="E4" s="38" t="s">
        <v>12</v>
      </c>
    </row>
    <row r="5" spans="1:5" ht="13.5" thickBot="1" x14ac:dyDescent="0.25">
      <c r="A5" s="68"/>
      <c r="B5" s="78"/>
      <c r="C5" s="78"/>
      <c r="D5" s="39"/>
      <c r="E5" s="78"/>
    </row>
    <row r="6" spans="1:5" ht="17.25" customHeight="1" x14ac:dyDescent="0.2">
      <c r="A6" s="3" t="s">
        <v>14</v>
      </c>
      <c r="B6" s="1" t="s">
        <v>15</v>
      </c>
      <c r="C6" s="1" t="s">
        <v>16</v>
      </c>
      <c r="D6" s="23" t="s">
        <v>11</v>
      </c>
      <c r="E6" s="2" t="s">
        <v>17</v>
      </c>
    </row>
    <row r="7" spans="1:5" ht="17.25" customHeight="1" x14ac:dyDescent="0.2">
      <c r="A7" s="28" t="s">
        <v>18</v>
      </c>
      <c r="B7" s="58" t="s">
        <v>12</v>
      </c>
      <c r="C7" s="26" t="s">
        <v>12</v>
      </c>
      <c r="D7" s="71">
        <f>TRUNC(D4,2)</f>
        <v>4500</v>
      </c>
      <c r="E7" s="40"/>
    </row>
    <row r="8" spans="1:5" ht="16.5" customHeight="1" thickBot="1" x14ac:dyDescent="0.25">
      <c r="A8" s="4" t="s">
        <v>19</v>
      </c>
      <c r="B8" s="5" t="s">
        <v>12</v>
      </c>
      <c r="C8" s="6" t="s">
        <v>20</v>
      </c>
      <c r="D8" s="72">
        <f>SUM(D7:D7)</f>
        <v>4500</v>
      </c>
      <c r="E8" s="7" t="s">
        <v>12</v>
      </c>
    </row>
    <row r="9" spans="1:5" ht="13.5" customHeight="1" thickBot="1" x14ac:dyDescent="0.25">
      <c r="A9" s="41"/>
      <c r="B9" s="42"/>
      <c r="C9" s="43"/>
      <c r="D9" s="39"/>
      <c r="E9" s="78"/>
    </row>
    <row r="10" spans="1:5" ht="16.5" customHeight="1" thickBot="1" x14ac:dyDescent="0.25">
      <c r="A10" s="155" t="s">
        <v>21</v>
      </c>
      <c r="B10" s="156"/>
      <c r="C10" s="156"/>
      <c r="D10" s="156"/>
      <c r="E10" s="157"/>
    </row>
    <row r="11" spans="1:5" ht="16.5" customHeight="1" x14ac:dyDescent="0.2">
      <c r="A11" s="3" t="s">
        <v>22</v>
      </c>
      <c r="B11" s="1" t="s">
        <v>23</v>
      </c>
      <c r="C11" s="1" t="s">
        <v>16</v>
      </c>
      <c r="D11" s="23" t="s">
        <v>11</v>
      </c>
      <c r="E11" s="2" t="s">
        <v>17</v>
      </c>
    </row>
    <row r="12" spans="1:5" ht="16.5" customHeight="1" x14ac:dyDescent="0.2">
      <c r="A12" s="28" t="s">
        <v>24</v>
      </c>
      <c r="B12" s="44">
        <v>0.2</v>
      </c>
      <c r="C12" s="26" t="s">
        <v>25</v>
      </c>
      <c r="D12" s="73">
        <f>TRUNC(B12*$D$8,2)</f>
        <v>900</v>
      </c>
      <c r="E12" s="45" t="s">
        <v>26</v>
      </c>
    </row>
    <row r="13" spans="1:5" ht="16.5" customHeight="1" x14ac:dyDescent="0.2">
      <c r="A13" s="28" t="s">
        <v>27</v>
      </c>
      <c r="B13" s="44">
        <v>0.08</v>
      </c>
      <c r="C13" s="26" t="s">
        <v>28</v>
      </c>
      <c r="D13" s="73">
        <f t="shared" ref="D13:D19" si="0">TRUNC(B13*$D$8,2)</f>
        <v>360</v>
      </c>
      <c r="E13" s="46" t="s">
        <v>164</v>
      </c>
    </row>
    <row r="14" spans="1:5" ht="17.25" customHeight="1" x14ac:dyDescent="0.2">
      <c r="A14" s="28" t="s">
        <v>29</v>
      </c>
      <c r="B14" s="44">
        <v>1.4999999999999999E-2</v>
      </c>
      <c r="C14" s="26" t="s">
        <v>30</v>
      </c>
      <c r="D14" s="73">
        <f t="shared" si="0"/>
        <v>67.5</v>
      </c>
      <c r="E14" s="46" t="s">
        <v>31</v>
      </c>
    </row>
    <row r="15" spans="1:5" ht="17.25" customHeight="1" x14ac:dyDescent="0.2">
      <c r="A15" s="28" t="s">
        <v>32</v>
      </c>
      <c r="B15" s="44">
        <v>0.01</v>
      </c>
      <c r="C15" s="26" t="s">
        <v>33</v>
      </c>
      <c r="D15" s="73">
        <f t="shared" si="0"/>
        <v>45</v>
      </c>
      <c r="E15" s="46" t="s">
        <v>34</v>
      </c>
    </row>
    <row r="16" spans="1:5" ht="17.25" customHeight="1" x14ac:dyDescent="0.2">
      <c r="A16" s="28" t="s">
        <v>35</v>
      </c>
      <c r="B16" s="44">
        <v>2E-3</v>
      </c>
      <c r="C16" s="26" t="s">
        <v>36</v>
      </c>
      <c r="D16" s="73">
        <f t="shared" si="0"/>
        <v>9</v>
      </c>
      <c r="E16" s="46" t="s">
        <v>37</v>
      </c>
    </row>
    <row r="17" spans="1:5" ht="17.25" customHeight="1" x14ac:dyDescent="0.2">
      <c r="A17" s="28" t="s">
        <v>38</v>
      </c>
      <c r="B17" s="44">
        <v>6.0000000000000001E-3</v>
      </c>
      <c r="C17" s="26" t="s">
        <v>39</v>
      </c>
      <c r="D17" s="73">
        <f t="shared" si="0"/>
        <v>27</v>
      </c>
      <c r="E17" s="46" t="s">
        <v>40</v>
      </c>
    </row>
    <row r="18" spans="1:5" ht="17.25" customHeight="1" x14ac:dyDescent="0.2">
      <c r="A18" s="28" t="s">
        <v>41</v>
      </c>
      <c r="B18" s="44">
        <v>2.5000000000000001E-2</v>
      </c>
      <c r="C18" s="26" t="s">
        <v>42</v>
      </c>
      <c r="D18" s="73">
        <f t="shared" si="0"/>
        <v>112.5</v>
      </c>
      <c r="E18" s="46" t="s">
        <v>43</v>
      </c>
    </row>
    <row r="19" spans="1:5" ht="17.25" customHeight="1" x14ac:dyDescent="0.2">
      <c r="A19" s="47" t="s">
        <v>44</v>
      </c>
      <c r="B19" s="69">
        <f>'Quadro Resumo'!B31</f>
        <v>0</v>
      </c>
      <c r="C19" s="26" t="s">
        <v>45</v>
      </c>
      <c r="D19" s="73">
        <f t="shared" si="0"/>
        <v>0</v>
      </c>
      <c r="E19" s="46" t="s">
        <v>162</v>
      </c>
    </row>
    <row r="20" spans="1:5" ht="17.25" customHeight="1" thickBot="1" x14ac:dyDescent="0.25">
      <c r="A20" s="4" t="s">
        <v>46</v>
      </c>
      <c r="B20" s="33">
        <f>SUM(B12:B19)</f>
        <v>0.33800000000000008</v>
      </c>
      <c r="C20" s="5" t="s">
        <v>20</v>
      </c>
      <c r="D20" s="74">
        <f>SUM(D12:D19)</f>
        <v>1521</v>
      </c>
      <c r="E20" s="7" t="s">
        <v>12</v>
      </c>
    </row>
    <row r="21" spans="1:5" ht="13.5" thickBot="1" x14ac:dyDescent="0.25">
      <c r="A21" s="68"/>
      <c r="B21" s="78"/>
      <c r="C21" s="78"/>
      <c r="D21" s="39"/>
      <c r="E21" s="48"/>
    </row>
    <row r="22" spans="1:5" ht="15.75" customHeight="1" x14ac:dyDescent="0.2">
      <c r="A22" s="3" t="s">
        <v>82</v>
      </c>
      <c r="B22" s="1" t="s">
        <v>23</v>
      </c>
      <c r="C22" s="1" t="s">
        <v>16</v>
      </c>
      <c r="D22" s="23" t="s">
        <v>11</v>
      </c>
      <c r="E22" s="2" t="s">
        <v>17</v>
      </c>
    </row>
    <row r="23" spans="1:5" ht="15.75" customHeight="1" x14ac:dyDescent="0.2">
      <c r="A23" s="28" t="s">
        <v>47</v>
      </c>
      <c r="B23" s="44">
        <f>(1/12)</f>
        <v>8.3333333333333329E-2</v>
      </c>
      <c r="C23" s="26" t="s">
        <v>88</v>
      </c>
      <c r="D23" s="73">
        <f>TRUNC(B23*$D$8,2)</f>
        <v>375</v>
      </c>
      <c r="E23" s="46" t="s">
        <v>48</v>
      </c>
    </row>
    <row r="24" spans="1:5" ht="15.75" customHeight="1" x14ac:dyDescent="0.2">
      <c r="A24" s="29" t="s">
        <v>80</v>
      </c>
      <c r="B24" s="49">
        <f>B20*B23</f>
        <v>2.8166666666666673E-2</v>
      </c>
      <c r="C24" s="58" t="s">
        <v>89</v>
      </c>
      <c r="D24" s="73">
        <f>TRUNC(B24*$D$8,2)</f>
        <v>126.75</v>
      </c>
      <c r="E24" s="62" t="s">
        <v>163</v>
      </c>
    </row>
    <row r="25" spans="1:5" ht="16.5" customHeight="1" thickBot="1" x14ac:dyDescent="0.25">
      <c r="A25" s="4" t="s">
        <v>49</v>
      </c>
      <c r="B25" s="33">
        <f>SUM(B23:B24)</f>
        <v>0.1115</v>
      </c>
      <c r="C25" s="5" t="s">
        <v>20</v>
      </c>
      <c r="D25" s="74">
        <f>SUM(D23:D24)</f>
        <v>501.75</v>
      </c>
      <c r="E25" s="7" t="s">
        <v>12</v>
      </c>
    </row>
    <row r="26" spans="1:5" ht="13.5" thickBot="1" x14ac:dyDescent="0.25">
      <c r="A26" s="50"/>
      <c r="B26" s="51"/>
      <c r="C26" s="51"/>
      <c r="D26" s="52"/>
      <c r="E26" s="53"/>
    </row>
    <row r="27" spans="1:5" ht="17.25" customHeight="1" x14ac:dyDescent="0.2">
      <c r="A27" s="3" t="s">
        <v>50</v>
      </c>
      <c r="B27" s="1" t="s">
        <v>23</v>
      </c>
      <c r="C27" s="1" t="s">
        <v>16</v>
      </c>
      <c r="D27" s="23" t="s">
        <v>11</v>
      </c>
      <c r="E27" s="2" t="s">
        <v>17</v>
      </c>
    </row>
    <row r="28" spans="1:5" ht="16.5" customHeight="1" x14ac:dyDescent="0.2">
      <c r="A28" s="28" t="s">
        <v>51</v>
      </c>
      <c r="B28" s="44">
        <f>1/12</f>
        <v>8.3333333333333329E-2</v>
      </c>
      <c r="C28" s="26" t="s">
        <v>88</v>
      </c>
      <c r="D28" s="73">
        <f t="shared" ref="D28:D34" si="1">TRUNC(B28*$D$8,2)</f>
        <v>375</v>
      </c>
      <c r="E28" s="46" t="s">
        <v>79</v>
      </c>
    </row>
    <row r="29" spans="1:5" ht="16.5" customHeight="1" x14ac:dyDescent="0.2">
      <c r="A29" s="28" t="s">
        <v>81</v>
      </c>
      <c r="B29" s="54">
        <f>(1/3)/12</f>
        <v>2.7777777777777776E-2</v>
      </c>
      <c r="C29" s="26" t="s">
        <v>95</v>
      </c>
      <c r="D29" s="73">
        <f t="shared" si="1"/>
        <v>125</v>
      </c>
      <c r="E29" s="46" t="s">
        <v>79</v>
      </c>
    </row>
    <row r="30" spans="1:5" ht="27.75" customHeight="1" x14ac:dyDescent="0.2">
      <c r="A30" s="28" t="s">
        <v>106</v>
      </c>
      <c r="B30" s="69">
        <f>D30/D8</f>
        <v>1.3924444444444444E-2</v>
      </c>
      <c r="C30" s="80" t="s">
        <v>150</v>
      </c>
      <c r="D30" s="71">
        <f>TRUNC((D63-(D57+D58))/12,2)</f>
        <v>62.66</v>
      </c>
      <c r="E30" s="46" t="s">
        <v>105</v>
      </c>
    </row>
    <row r="31" spans="1:5" ht="16.5" customHeight="1" x14ac:dyDescent="0.2">
      <c r="A31" s="28" t="s">
        <v>107</v>
      </c>
      <c r="B31" s="44">
        <f>(5.96/30)/12</f>
        <v>1.6555555555555556E-2</v>
      </c>
      <c r="C31" s="26" t="s">
        <v>99</v>
      </c>
      <c r="D31" s="73">
        <f t="shared" si="1"/>
        <v>74.5</v>
      </c>
      <c r="E31" s="46" t="s">
        <v>157</v>
      </c>
    </row>
    <row r="32" spans="1:5" ht="16.5" customHeight="1" x14ac:dyDescent="0.2">
      <c r="A32" s="28" t="s">
        <v>111</v>
      </c>
      <c r="B32" s="44">
        <f>(((15/30)/12)*0.00743)</f>
        <v>3.0958333333333331E-4</v>
      </c>
      <c r="C32" s="55" t="s">
        <v>201</v>
      </c>
      <c r="D32" s="73">
        <f t="shared" si="1"/>
        <v>1.39</v>
      </c>
      <c r="E32" s="46" t="s">
        <v>52</v>
      </c>
    </row>
    <row r="33" spans="1:5" ht="16.5" customHeight="1" x14ac:dyDescent="0.2">
      <c r="A33" s="28" t="s">
        <v>112</v>
      </c>
      <c r="B33" s="44">
        <f>(2.96/30)/12</f>
        <v>8.2222222222222228E-3</v>
      </c>
      <c r="C33" s="36" t="s">
        <v>101</v>
      </c>
      <c r="D33" s="73">
        <f t="shared" si="1"/>
        <v>37</v>
      </c>
      <c r="E33" s="46" t="s">
        <v>53</v>
      </c>
    </row>
    <row r="34" spans="1:5" ht="16.5" customHeight="1" x14ac:dyDescent="0.2">
      <c r="A34" s="28" t="s">
        <v>113</v>
      </c>
      <c r="B34" s="44">
        <f>((5/30)/12)*0.557*0.01092</f>
        <v>8.447833333333332E-5</v>
      </c>
      <c r="C34" s="30" t="s">
        <v>197</v>
      </c>
      <c r="D34" s="73">
        <f t="shared" si="1"/>
        <v>0.38</v>
      </c>
      <c r="E34" s="46" t="s">
        <v>156</v>
      </c>
    </row>
    <row r="35" spans="1:5" ht="16.5" customHeight="1" x14ac:dyDescent="0.2">
      <c r="A35" s="28" t="s">
        <v>114</v>
      </c>
      <c r="B35" s="56">
        <f>((7/30)/12)*0.9445</f>
        <v>1.8365277777777779E-2</v>
      </c>
      <c r="C35" s="80" t="s">
        <v>144</v>
      </c>
      <c r="D35" s="73">
        <f>TRUNC(B35*$D$8,2)</f>
        <v>82.64</v>
      </c>
      <c r="E35" s="62" t="s">
        <v>61</v>
      </c>
    </row>
    <row r="36" spans="1:5" ht="24" x14ac:dyDescent="0.2">
      <c r="A36" s="28" t="s">
        <v>115</v>
      </c>
      <c r="B36" s="56">
        <f>D36/D8</f>
        <v>4.4666666666666661E-4</v>
      </c>
      <c r="C36" s="80" t="s">
        <v>198</v>
      </c>
      <c r="D36" s="71">
        <f>TRUNC((((D8*(1+(1/3)))/12)+(D63-(D57+D58)))*(4/12)*0.01092*0.443,2)</f>
        <v>2.0099999999999998</v>
      </c>
      <c r="E36" s="46" t="s">
        <v>79</v>
      </c>
    </row>
    <row r="37" spans="1:5" ht="29.25" customHeight="1" x14ac:dyDescent="0.2">
      <c r="A37" s="47" t="s">
        <v>116</v>
      </c>
      <c r="B37" s="44">
        <f>B20*SUM(B28,B29,B31,B32,B33,B34,B35)</f>
        <v>5.2271101176666668E-2</v>
      </c>
      <c r="C37" s="80" t="s">
        <v>124</v>
      </c>
      <c r="D37" s="73">
        <f>TRUNC(B37*$D$8,2)</f>
        <v>235.21</v>
      </c>
      <c r="E37" s="62" t="s">
        <v>83</v>
      </c>
    </row>
    <row r="38" spans="1:5" ht="25.5" x14ac:dyDescent="0.2">
      <c r="A38" s="47" t="s">
        <v>118</v>
      </c>
      <c r="B38" s="56">
        <f>B20*B36</f>
        <v>1.5097333333333334E-4</v>
      </c>
      <c r="C38" s="30" t="s">
        <v>120</v>
      </c>
      <c r="D38" s="73">
        <f>TRUNC(B38*$D$8,2)</f>
        <v>0.67</v>
      </c>
      <c r="E38" s="46" t="s">
        <v>165</v>
      </c>
    </row>
    <row r="39" spans="1:5" ht="16.5" customHeight="1" thickBot="1" x14ac:dyDescent="0.25">
      <c r="A39" s="4" t="s">
        <v>55</v>
      </c>
      <c r="B39" s="33">
        <f>SUM(B28:B38)</f>
        <v>0.22144141395444442</v>
      </c>
      <c r="C39" s="5" t="s">
        <v>20</v>
      </c>
      <c r="D39" s="89">
        <f>SUM(D28:D38)</f>
        <v>996.45999999999992</v>
      </c>
      <c r="E39" s="7" t="s">
        <v>12</v>
      </c>
    </row>
    <row r="40" spans="1:5" ht="27.75" customHeight="1" x14ac:dyDescent="0.2">
      <c r="A40" s="100" t="s">
        <v>117</v>
      </c>
      <c r="B40" s="100" t="s">
        <v>109</v>
      </c>
      <c r="D40" s="179" t="s">
        <v>194</v>
      </c>
      <c r="E40" s="166"/>
    </row>
    <row r="41" spans="1:5" ht="16.5" customHeight="1" x14ac:dyDescent="0.2">
      <c r="A41" s="100" t="s">
        <v>108</v>
      </c>
      <c r="B41" s="173" t="s">
        <v>196</v>
      </c>
      <c r="C41" s="161"/>
      <c r="D41" s="151"/>
      <c r="E41" s="45"/>
    </row>
    <row r="42" spans="1:5" ht="16.5" customHeight="1" thickBot="1" x14ac:dyDescent="0.25">
      <c r="A42" s="140" t="s">
        <v>200</v>
      </c>
      <c r="B42" s="93" t="s">
        <v>110</v>
      </c>
      <c r="C42" s="34"/>
      <c r="D42" s="97"/>
      <c r="E42" s="98"/>
    </row>
    <row r="43" spans="1:5" ht="16.5" customHeight="1" x14ac:dyDescent="0.2">
      <c r="A43" s="3" t="s">
        <v>56</v>
      </c>
      <c r="B43" s="1" t="s">
        <v>23</v>
      </c>
      <c r="C43" s="1" t="s">
        <v>16</v>
      </c>
      <c r="D43" s="23" t="s">
        <v>11</v>
      </c>
      <c r="E43" s="2" t="s">
        <v>17</v>
      </c>
    </row>
    <row r="44" spans="1:5" ht="16.5" customHeight="1" x14ac:dyDescent="0.2">
      <c r="A44" s="29" t="s">
        <v>57</v>
      </c>
      <c r="B44" s="57">
        <f>(1/12)*0.0555</f>
        <v>4.6249999999999998E-3</v>
      </c>
      <c r="C44" s="81" t="s">
        <v>143</v>
      </c>
      <c r="D44" s="90">
        <f>TRUNC(B44*$D$8,2)</f>
        <v>20.81</v>
      </c>
      <c r="E44" s="79" t="s">
        <v>58</v>
      </c>
    </row>
    <row r="45" spans="1:5" ht="16.5" customHeight="1" x14ac:dyDescent="0.2">
      <c r="A45" s="29" t="s">
        <v>59</v>
      </c>
      <c r="B45" s="59">
        <f>(1/12)*0.055*0.08</f>
        <v>3.6666666666666667E-4</v>
      </c>
      <c r="C45" s="58" t="s">
        <v>137</v>
      </c>
      <c r="D45" s="90">
        <f>TRUNC(B45*$D$8,2)</f>
        <v>1.65</v>
      </c>
      <c r="E45" s="79" t="s">
        <v>60</v>
      </c>
    </row>
    <row r="46" spans="1:5" ht="16.5" customHeight="1" x14ac:dyDescent="0.2">
      <c r="A46" s="28" t="s">
        <v>102</v>
      </c>
      <c r="B46" s="60">
        <f>0.4*0.08</f>
        <v>3.2000000000000001E-2</v>
      </c>
      <c r="C46" s="30" t="s">
        <v>127</v>
      </c>
      <c r="D46" s="90">
        <f>TRUNC(B46*$D$8,2)</f>
        <v>144</v>
      </c>
      <c r="E46" s="79" t="s">
        <v>84</v>
      </c>
    </row>
    <row r="47" spans="1:5" ht="17.25" customHeight="1" x14ac:dyDescent="0.2">
      <c r="A47" s="28" t="s">
        <v>103</v>
      </c>
      <c r="B47" s="95">
        <f>(1/12)*0.01</f>
        <v>8.3333333333333328E-4</v>
      </c>
      <c r="C47" s="96" t="s">
        <v>121</v>
      </c>
      <c r="D47" s="90">
        <f>TRUNC(B47*$D$8,2)</f>
        <v>3.75</v>
      </c>
      <c r="E47" s="62" t="s">
        <v>87</v>
      </c>
    </row>
    <row r="48" spans="1:5" ht="17.25" customHeight="1" x14ac:dyDescent="0.2">
      <c r="A48" s="29" t="s">
        <v>104</v>
      </c>
      <c r="B48" s="60">
        <f>0.08*B32</f>
        <v>2.4766666666666664E-5</v>
      </c>
      <c r="C48" s="96" t="s">
        <v>123</v>
      </c>
      <c r="D48" s="90">
        <f>TRUNC(B48*D8,2)</f>
        <v>0.11</v>
      </c>
      <c r="E48" s="79" t="s">
        <v>158</v>
      </c>
    </row>
    <row r="49" spans="1:5" ht="17.25" customHeight="1" thickBot="1" x14ac:dyDescent="0.25">
      <c r="A49" s="4" t="s">
        <v>62</v>
      </c>
      <c r="B49" s="33">
        <f>SUM(B44:B48)</f>
        <v>3.7849766666666666E-2</v>
      </c>
      <c r="C49" s="5" t="s">
        <v>20</v>
      </c>
      <c r="D49" s="74">
        <f>SUM(D44:D48)</f>
        <v>170.32000000000002</v>
      </c>
      <c r="E49" s="7" t="s">
        <v>12</v>
      </c>
    </row>
    <row r="50" spans="1:5" ht="13.5" x14ac:dyDescent="0.2">
      <c r="A50" s="91" t="s">
        <v>141</v>
      </c>
      <c r="B50" s="178" t="s">
        <v>140</v>
      </c>
      <c r="C50" s="158"/>
      <c r="D50" s="158"/>
      <c r="E50" s="159"/>
    </row>
    <row r="51" spans="1:5" ht="14.25" thickBot="1" x14ac:dyDescent="0.25">
      <c r="A51" s="77" t="s">
        <v>129</v>
      </c>
      <c r="B51" s="173" t="s">
        <v>147</v>
      </c>
      <c r="C51" s="160"/>
      <c r="D51" s="160"/>
      <c r="E51" s="174"/>
    </row>
    <row r="52" spans="1:5" ht="16.5" customHeight="1" thickBot="1" x14ac:dyDescent="0.25">
      <c r="A52" s="8" t="s">
        <v>63</v>
      </c>
      <c r="B52" s="87">
        <f>SUM(B49,B39,B25,B20)</f>
        <v>0.70879118062111113</v>
      </c>
      <c r="C52" s="10" t="s">
        <v>64</v>
      </c>
      <c r="D52" s="88">
        <f>SUM(D20,D25,D39,D49)</f>
        <v>3189.53</v>
      </c>
      <c r="E52" s="11" t="s">
        <v>12</v>
      </c>
    </row>
    <row r="53" spans="1:5" ht="13.5" thickBot="1" x14ac:dyDescent="0.25">
      <c r="A53" s="78"/>
      <c r="B53" s="78"/>
      <c r="C53" s="78"/>
      <c r="D53" s="61"/>
      <c r="E53" s="78"/>
    </row>
    <row r="54" spans="1:5" ht="16.5" customHeight="1" thickBot="1" x14ac:dyDescent="0.25">
      <c r="A54" s="155" t="s">
        <v>153</v>
      </c>
      <c r="B54" s="156"/>
      <c r="C54" s="156"/>
      <c r="D54" s="156"/>
      <c r="E54" s="157"/>
    </row>
    <row r="55" spans="1:5" ht="17.25" customHeight="1" x14ac:dyDescent="0.2">
      <c r="A55" s="3" t="s">
        <v>152</v>
      </c>
      <c r="B55" s="84" t="s">
        <v>11</v>
      </c>
      <c r="C55" s="1" t="s">
        <v>16</v>
      </c>
      <c r="D55" s="23" t="s">
        <v>11</v>
      </c>
      <c r="E55" s="2" t="s">
        <v>17</v>
      </c>
    </row>
    <row r="56" spans="1:5" ht="25.5" x14ac:dyDescent="0.2">
      <c r="A56" s="28" t="s">
        <v>168</v>
      </c>
      <c r="B56" s="85">
        <v>34.18</v>
      </c>
      <c r="C56" s="26" t="str">
        <f>B56 &amp; " * 22"</f>
        <v>34,18 * 22</v>
      </c>
      <c r="D56" s="73">
        <f>TRUNC(B56*22,2)</f>
        <v>751.96</v>
      </c>
      <c r="E56" s="27" t="s">
        <v>185</v>
      </c>
    </row>
    <row r="57" spans="1:5" ht="25.5" x14ac:dyDescent="0.2">
      <c r="A57" s="28" t="s">
        <v>85</v>
      </c>
      <c r="B57" s="85">
        <v>5.25</v>
      </c>
      <c r="C57" s="26" t="str">
        <f>B57&amp; " * 4 * 22"</f>
        <v>5,25 * 4 * 22</v>
      </c>
      <c r="D57" s="73">
        <f>TRUNC(B57*22*4,2)</f>
        <v>462</v>
      </c>
      <c r="E57" s="27" t="s">
        <v>186</v>
      </c>
    </row>
    <row r="58" spans="1:5" ht="17.25" customHeight="1" x14ac:dyDescent="0.2">
      <c r="A58" s="28" t="s">
        <v>86</v>
      </c>
      <c r="B58" s="85">
        <f>D58</f>
        <v>-270</v>
      </c>
      <c r="C58" s="26" t="s">
        <v>65</v>
      </c>
      <c r="D58" s="73">
        <f>IF(D57&gt;=TRUNC(0.06*D7,2),TRUNC(-0.06*D7,2),-D57)</f>
        <v>-270</v>
      </c>
      <c r="E58" s="62" t="s">
        <v>90</v>
      </c>
    </row>
    <row r="59" spans="1:5" ht="17.25" customHeight="1" x14ac:dyDescent="0.2">
      <c r="A59" s="28" t="s">
        <v>75</v>
      </c>
      <c r="B59" s="85">
        <f>'Quadro Resumo'!B26</f>
        <v>0</v>
      </c>
      <c r="C59" s="26" t="str">
        <f>B59 &amp; " * 3"</f>
        <v>0 * 3</v>
      </c>
      <c r="D59" s="73">
        <f>ROUND(B59*3,2)</f>
        <v>0</v>
      </c>
      <c r="E59" s="132" t="s">
        <v>166</v>
      </c>
    </row>
    <row r="60" spans="1:5" ht="17.25" customHeight="1" x14ac:dyDescent="0.2">
      <c r="A60" s="68" t="s">
        <v>126</v>
      </c>
      <c r="B60" s="136">
        <f>'Quadro Resumo'!B27</f>
        <v>0</v>
      </c>
      <c r="C60" s="58" t="str">
        <f>B60&amp;" * 3/12"</f>
        <v>0 * 3/12</v>
      </c>
      <c r="D60" s="75">
        <f>ROUND(B60*3/12,2)</f>
        <v>0</v>
      </c>
      <c r="E60" s="137" t="s">
        <v>166</v>
      </c>
    </row>
    <row r="61" spans="1:5" ht="33.75" customHeight="1" x14ac:dyDescent="0.2">
      <c r="A61" s="138" t="s">
        <v>178</v>
      </c>
      <c r="B61" s="133">
        <f>ROUNDUP('CUSTOS DE VALOR SUBJETIVO'!B9/12,2)</f>
        <v>0</v>
      </c>
      <c r="C61" s="30" t="s">
        <v>135</v>
      </c>
      <c r="D61" s="73">
        <f>B61</f>
        <v>0</v>
      </c>
      <c r="E61" s="132" t="s">
        <v>179</v>
      </c>
    </row>
    <row r="62" spans="1:5" ht="31.5" customHeight="1" x14ac:dyDescent="0.2">
      <c r="A62" s="29" t="s">
        <v>130</v>
      </c>
      <c r="B62" s="85">
        <f>ROUNDUP('CUSTOS DE VALOR SUBJETIVO'!B17/12,2)</f>
        <v>0</v>
      </c>
      <c r="C62" s="58" t="s">
        <v>135</v>
      </c>
      <c r="D62" s="75">
        <f>B62</f>
        <v>0</v>
      </c>
      <c r="E62" s="82" t="s">
        <v>94</v>
      </c>
    </row>
    <row r="63" spans="1:5" ht="17.25" customHeight="1" thickBot="1" x14ac:dyDescent="0.25">
      <c r="A63" s="4" t="s">
        <v>96</v>
      </c>
      <c r="B63" s="86"/>
      <c r="C63" s="5" t="s">
        <v>20</v>
      </c>
      <c r="D63" s="74">
        <f>SUM(D56:D62)</f>
        <v>943.96</v>
      </c>
      <c r="E63" s="7" t="s">
        <v>12</v>
      </c>
    </row>
    <row r="64" spans="1:5" x14ac:dyDescent="0.2">
      <c r="A64" s="175" t="s">
        <v>167</v>
      </c>
      <c r="B64" s="176"/>
      <c r="C64" s="176"/>
      <c r="D64" s="176"/>
      <c r="E64" s="176"/>
    </row>
    <row r="65" spans="1:5" ht="13.5" thickBot="1" x14ac:dyDescent="0.25">
      <c r="A65" s="177"/>
      <c r="B65" s="177"/>
      <c r="C65" s="177"/>
      <c r="D65" s="177"/>
      <c r="E65" s="177"/>
    </row>
    <row r="66" spans="1:5" ht="30.75" customHeight="1" thickBot="1" x14ac:dyDescent="0.25">
      <c r="A66" s="12" t="s">
        <v>66</v>
      </c>
      <c r="B66" s="9" t="s">
        <v>12</v>
      </c>
      <c r="C66" s="9" t="s">
        <v>67</v>
      </c>
      <c r="D66" s="32">
        <f>SUM(D8,D52,D63)</f>
        <v>8633.4900000000016</v>
      </c>
      <c r="E66" s="11" t="s">
        <v>12</v>
      </c>
    </row>
    <row r="67" spans="1:5" ht="13.5" thickBot="1" x14ac:dyDescent="0.25">
      <c r="A67" s="63"/>
      <c r="B67" s="64"/>
      <c r="C67" s="64"/>
      <c r="D67" s="65"/>
      <c r="E67" s="66"/>
    </row>
    <row r="68" spans="1:5" ht="17.25" customHeight="1" x14ac:dyDescent="0.2">
      <c r="A68" s="3" t="s">
        <v>119</v>
      </c>
      <c r="B68" s="1" t="s">
        <v>23</v>
      </c>
      <c r="C68" s="1" t="s">
        <v>16</v>
      </c>
      <c r="D68" s="23" t="s">
        <v>11</v>
      </c>
      <c r="E68" s="2" t="s">
        <v>17</v>
      </c>
    </row>
    <row r="69" spans="1:5" ht="17.25" customHeight="1" x14ac:dyDescent="0.2">
      <c r="A69" s="28" t="s">
        <v>98</v>
      </c>
      <c r="B69" s="69">
        <f>'Quadro Resumo'!B21</f>
        <v>0</v>
      </c>
      <c r="C69" s="134" t="s">
        <v>12</v>
      </c>
      <c r="D69" s="83">
        <f>TRUNC(B69*D66,2)</f>
        <v>0</v>
      </c>
      <c r="E69" s="40" t="s">
        <v>12</v>
      </c>
    </row>
    <row r="70" spans="1:5" ht="30.75" customHeight="1" x14ac:dyDescent="0.2">
      <c r="A70" s="28" t="s">
        <v>6</v>
      </c>
      <c r="B70" s="69">
        <f>'Quadro Resumo'!B22</f>
        <v>0</v>
      </c>
      <c r="C70" s="26" t="s">
        <v>135</v>
      </c>
      <c r="D70" s="83">
        <f>TRUNC(B70*D66,2)</f>
        <v>0</v>
      </c>
      <c r="E70" s="27" t="s">
        <v>136</v>
      </c>
    </row>
    <row r="71" spans="1:5" ht="16.5" customHeight="1" thickBot="1" x14ac:dyDescent="0.25">
      <c r="A71" s="4" t="s">
        <v>68</v>
      </c>
      <c r="B71" s="33">
        <f>SUM(B69:B70)</f>
        <v>0</v>
      </c>
      <c r="C71" s="5" t="s">
        <v>20</v>
      </c>
      <c r="D71" s="72">
        <f>SUM(D69:D70)</f>
        <v>0</v>
      </c>
      <c r="E71" s="7" t="s">
        <v>12</v>
      </c>
    </row>
    <row r="72" spans="1:5" ht="24" customHeight="1" thickBot="1" x14ac:dyDescent="0.25">
      <c r="A72" s="99"/>
      <c r="B72" s="78"/>
      <c r="C72" s="78"/>
      <c r="D72" s="39"/>
      <c r="E72" s="78"/>
    </row>
    <row r="73" spans="1:5" ht="16.5" customHeight="1" x14ac:dyDescent="0.2">
      <c r="A73" s="13" t="s">
        <v>69</v>
      </c>
      <c r="B73" s="1" t="s">
        <v>23</v>
      </c>
      <c r="C73" s="1" t="s">
        <v>16</v>
      </c>
      <c r="D73" s="23" t="s">
        <v>11</v>
      </c>
      <c r="E73" s="2" t="s">
        <v>17</v>
      </c>
    </row>
    <row r="74" spans="1:5" ht="16.5" customHeight="1" x14ac:dyDescent="0.2">
      <c r="A74" s="28" t="s">
        <v>7</v>
      </c>
      <c r="B74" s="69">
        <f>'Quadro Resumo'!B34</f>
        <v>0</v>
      </c>
      <c r="C74" s="171" t="s">
        <v>97</v>
      </c>
      <c r="D74" s="73">
        <f>TRUNC((($D$66+$D$71)/(1-(($B$74+$B$75+$B$76))))*(B74),2)</f>
        <v>0</v>
      </c>
      <c r="E74" s="62" t="s">
        <v>93</v>
      </c>
    </row>
    <row r="75" spans="1:5" ht="16.5" customHeight="1" x14ac:dyDescent="0.2">
      <c r="A75" s="28" t="s">
        <v>8</v>
      </c>
      <c r="B75" s="69">
        <f>'Quadro Resumo'!B35</f>
        <v>0</v>
      </c>
      <c r="C75" s="172"/>
      <c r="D75" s="73">
        <f>TRUNC((($D$66+$D$71)/(1-(($B$74+$B$75+$B$76))))*(B75),2)</f>
        <v>0</v>
      </c>
      <c r="E75" s="27" t="s">
        <v>92</v>
      </c>
    </row>
    <row r="76" spans="1:5" ht="16.5" customHeight="1" x14ac:dyDescent="0.2">
      <c r="A76" s="28" t="s">
        <v>9</v>
      </c>
      <c r="B76" s="69">
        <f>'Quadro Resumo'!B36</f>
        <v>0</v>
      </c>
      <c r="C76" s="172"/>
      <c r="D76" s="73">
        <f>TRUNC((($D$66+$D$71)/(1-(($B$74+$B$75+$B$76))))*(B76),2)</f>
        <v>0</v>
      </c>
      <c r="E76" s="62" t="s">
        <v>91</v>
      </c>
    </row>
    <row r="77" spans="1:5" ht="16.5" customHeight="1" thickBot="1" x14ac:dyDescent="0.25">
      <c r="A77" s="4" t="s">
        <v>70</v>
      </c>
      <c r="B77" s="33">
        <f>SUM(B74:B76)</f>
        <v>0</v>
      </c>
      <c r="C77" s="5" t="s">
        <v>20</v>
      </c>
      <c r="D77" s="74">
        <f>SUM(D74:D76)</f>
        <v>0</v>
      </c>
      <c r="E77" s="7" t="s">
        <v>12</v>
      </c>
    </row>
    <row r="78" spans="1:5" ht="13.5" thickBot="1" x14ac:dyDescent="0.25">
      <c r="A78" s="68"/>
      <c r="B78" s="78"/>
      <c r="C78" s="78"/>
      <c r="D78" s="39"/>
      <c r="E78" s="78"/>
    </row>
    <row r="79" spans="1:5" ht="16.5" customHeight="1" thickBot="1" x14ac:dyDescent="0.25">
      <c r="A79" s="14" t="s">
        <v>71</v>
      </c>
      <c r="B79" s="15" t="s">
        <v>12</v>
      </c>
      <c r="C79" s="1" t="s">
        <v>16</v>
      </c>
      <c r="D79" s="24" t="s">
        <v>72</v>
      </c>
      <c r="E79" s="2" t="s">
        <v>73</v>
      </c>
    </row>
    <row r="80" spans="1:5" ht="16.5" customHeight="1" thickBot="1" x14ac:dyDescent="0.25">
      <c r="A80" s="16"/>
      <c r="B80" s="17" t="s">
        <v>12</v>
      </c>
      <c r="C80" s="17" t="s">
        <v>74</v>
      </c>
      <c r="D80" s="94">
        <f>TRUNC(SUM(D66,D71,D77),2)</f>
        <v>8633.49</v>
      </c>
      <c r="E80" s="31">
        <f>D80*12</f>
        <v>103601.88</v>
      </c>
    </row>
    <row r="81" spans="1:5" ht="13.5" thickBot="1" x14ac:dyDescent="0.25">
      <c r="A81" s="34"/>
      <c r="B81" s="34"/>
      <c r="C81" s="34"/>
      <c r="D81" s="67"/>
      <c r="E81" s="34"/>
    </row>
    <row r="82" spans="1:5" x14ac:dyDescent="0.2">
      <c r="A82" s="14" t="s">
        <v>171</v>
      </c>
      <c r="B82" s="135" t="s">
        <v>12</v>
      </c>
      <c r="C82" s="141" t="s">
        <v>16</v>
      </c>
      <c r="D82" s="24" t="s">
        <v>11</v>
      </c>
      <c r="E82" s="142" t="s">
        <v>173</v>
      </c>
    </row>
    <row r="83" spans="1:5" ht="20.25" customHeight="1" x14ac:dyDescent="0.2">
      <c r="A83" s="28" t="s">
        <v>172</v>
      </c>
      <c r="B83" s="73">
        <f>E80</f>
        <v>103601.88</v>
      </c>
      <c r="C83" s="143" t="s">
        <v>202</v>
      </c>
      <c r="D83" s="144">
        <f>B83*5</f>
        <v>518009.4</v>
      </c>
      <c r="E83" s="167">
        <f>D83+D84</f>
        <v>518009.4</v>
      </c>
    </row>
    <row r="84" spans="1:5" ht="27.75" customHeight="1" thickBot="1" x14ac:dyDescent="0.25">
      <c r="A84" s="145" t="s">
        <v>203</v>
      </c>
      <c r="B84" s="70">
        <f>'Quadro Resumo'!C17</f>
        <v>0</v>
      </c>
      <c r="C84" s="37" t="s">
        <v>204</v>
      </c>
      <c r="D84" s="146">
        <f>'Quadro Resumo'!C17</f>
        <v>0</v>
      </c>
      <c r="E84" s="168"/>
    </row>
  </sheetData>
  <sheetProtection algorithmName="SHA-512" hashValue="2HpBasLjPdZaol0mWoIpECwt1Q5hQPRzasVfjF8MApt013hS0SzbMrnkrEEGaGyD4bqBGjXbMZHaUKJkNBOLcQ==" saltValue="eyYQJpmW1w6J91sg246m+w==" spinCount="100000" sheet="1" objects="1" scenarios="1"/>
  <mergeCells count="11">
    <mergeCell ref="E83:E84"/>
    <mergeCell ref="C74:C76"/>
    <mergeCell ref="A1:E1"/>
    <mergeCell ref="B50:E50"/>
    <mergeCell ref="B51:E51"/>
    <mergeCell ref="A10:E10"/>
    <mergeCell ref="A54:E54"/>
    <mergeCell ref="D40:E40"/>
    <mergeCell ref="B41:D41"/>
    <mergeCell ref="A3:C3"/>
    <mergeCell ref="A64:E65"/>
  </mergeCells>
  <conditionalFormatting sqref="B62">
    <cfRule type="expression" dxfId="5" priority="32">
      <formula>ISBLANK($B$62)</formula>
    </cfRule>
  </conditionalFormatting>
  <pageMargins left="0.51181102362204722" right="0.51181102362204722" top="0.78740157480314965" bottom="0.78740157480314965" header="0.31496062992125984" footer="0.31496062992125984"/>
  <pageSetup paperSize="9" scale="42" fitToHeight="0" orientation="portrait" r:id="rId1"/>
  <ignoredErrors>
    <ignoredError sqref="B30" evalError="1"/>
    <ignoredError sqref="D3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F4424-17E7-4B15-A815-F963DA000E6B}">
  <sheetPr>
    <tabColor theme="2" tint="-0.749992370372631"/>
  </sheetPr>
  <dimension ref="A1:E84"/>
  <sheetViews>
    <sheetView zoomScale="90" zoomScaleNormal="90" workbookViewId="0">
      <selection activeCell="D57" sqref="D57"/>
    </sheetView>
  </sheetViews>
  <sheetFormatPr defaultColWidth="9.140625" defaultRowHeight="12.75" x14ac:dyDescent="0.2"/>
  <cols>
    <col min="1" max="1" width="70.140625" style="21" customWidth="1"/>
    <col min="2" max="2" width="15.140625" style="21" customWidth="1"/>
    <col min="3" max="3" width="64.5703125" style="21" customWidth="1"/>
    <col min="4" max="4" width="13.5703125" style="25" customWidth="1"/>
    <col min="5" max="5" width="57.85546875" style="21" customWidth="1"/>
    <col min="6" max="6" width="1.7109375" style="21" customWidth="1"/>
    <col min="7" max="16384" width="9.140625" style="21"/>
  </cols>
  <sheetData>
    <row r="1" spans="1:5" ht="20.25" thickBot="1" x14ac:dyDescent="0.25">
      <c r="A1" s="152" t="str">
        <f>"PLANILHA DE COMPOSIÇÃO DE CUSTOS E FORMAÇÃO DE PREÇOS - " &amp; 'Quadro Resumo'!A9</f>
        <v>PLANILHA DE COMPOSIÇÃO DE CUSTOS E FORMAÇÃO DE PREÇOS - Assistente de compras e contratos I</v>
      </c>
      <c r="B1" s="153"/>
      <c r="C1" s="153"/>
      <c r="D1" s="153"/>
      <c r="E1" s="154"/>
    </row>
    <row r="2" spans="1:5" ht="20.25" thickBot="1" x14ac:dyDescent="0.25">
      <c r="A2" s="18"/>
      <c r="B2" s="19"/>
      <c r="C2" s="19"/>
      <c r="D2" s="22"/>
      <c r="E2" s="20"/>
    </row>
    <row r="3" spans="1:5" ht="17.25" customHeight="1" x14ac:dyDescent="0.2">
      <c r="A3" s="162" t="s">
        <v>155</v>
      </c>
      <c r="B3" s="163"/>
      <c r="C3" s="164"/>
      <c r="D3" s="1" t="s">
        <v>11</v>
      </c>
      <c r="E3" s="1" t="s">
        <v>12</v>
      </c>
    </row>
    <row r="4" spans="1:5" ht="17.25" customHeight="1" thickBot="1" x14ac:dyDescent="0.25">
      <c r="A4" s="35" t="str">
        <f>'Quadro Resumo'!A9</f>
        <v>Assistente de compras e contratos I</v>
      </c>
      <c r="B4" s="37"/>
      <c r="C4" s="37" t="s">
        <v>13</v>
      </c>
      <c r="D4" s="70">
        <f>'Quadro Resumo'!B9</f>
        <v>4500</v>
      </c>
      <c r="E4" s="38" t="s">
        <v>12</v>
      </c>
    </row>
    <row r="5" spans="1:5" ht="13.5" thickBot="1" x14ac:dyDescent="0.25">
      <c r="A5" s="68"/>
      <c r="B5" s="78"/>
      <c r="C5" s="78"/>
      <c r="D5" s="39"/>
      <c r="E5" s="78"/>
    </row>
    <row r="6" spans="1:5" ht="17.25" customHeight="1" x14ac:dyDescent="0.2">
      <c r="A6" s="3" t="s">
        <v>14</v>
      </c>
      <c r="B6" s="1" t="s">
        <v>15</v>
      </c>
      <c r="C6" s="1" t="s">
        <v>16</v>
      </c>
      <c r="D6" s="23" t="s">
        <v>11</v>
      </c>
      <c r="E6" s="2" t="s">
        <v>17</v>
      </c>
    </row>
    <row r="7" spans="1:5" ht="17.25" customHeight="1" x14ac:dyDescent="0.2">
      <c r="A7" s="28" t="s">
        <v>18</v>
      </c>
      <c r="B7" s="58" t="s">
        <v>12</v>
      </c>
      <c r="C7" s="26" t="s">
        <v>12</v>
      </c>
      <c r="D7" s="71">
        <f>TRUNC(D4,2)</f>
        <v>4500</v>
      </c>
      <c r="E7" s="40"/>
    </row>
    <row r="8" spans="1:5" ht="16.5" customHeight="1" thickBot="1" x14ac:dyDescent="0.25">
      <c r="A8" s="4" t="s">
        <v>19</v>
      </c>
      <c r="B8" s="5" t="s">
        <v>12</v>
      </c>
      <c r="C8" s="6" t="s">
        <v>20</v>
      </c>
      <c r="D8" s="72">
        <f>SUM(D7:D7)</f>
        <v>4500</v>
      </c>
      <c r="E8" s="7" t="s">
        <v>12</v>
      </c>
    </row>
    <row r="9" spans="1:5" ht="13.5" customHeight="1" thickBot="1" x14ac:dyDescent="0.25">
      <c r="A9" s="41"/>
      <c r="B9" s="42"/>
      <c r="C9" s="43"/>
      <c r="D9" s="39"/>
      <c r="E9" s="78"/>
    </row>
    <row r="10" spans="1:5" ht="16.5" customHeight="1" thickBot="1" x14ac:dyDescent="0.25">
      <c r="A10" s="155" t="s">
        <v>21</v>
      </c>
      <c r="B10" s="156"/>
      <c r="C10" s="156"/>
      <c r="D10" s="156"/>
      <c r="E10" s="157"/>
    </row>
    <row r="11" spans="1:5" ht="16.5" customHeight="1" x14ac:dyDescent="0.2">
      <c r="A11" s="3" t="s">
        <v>22</v>
      </c>
      <c r="B11" s="1" t="s">
        <v>23</v>
      </c>
      <c r="C11" s="1" t="s">
        <v>16</v>
      </c>
      <c r="D11" s="23" t="s">
        <v>11</v>
      </c>
      <c r="E11" s="2" t="s">
        <v>17</v>
      </c>
    </row>
    <row r="12" spans="1:5" ht="16.5" customHeight="1" x14ac:dyDescent="0.2">
      <c r="A12" s="28" t="s">
        <v>24</v>
      </c>
      <c r="B12" s="44">
        <v>0.2</v>
      </c>
      <c r="C12" s="26" t="s">
        <v>25</v>
      </c>
      <c r="D12" s="73">
        <f>TRUNC(B12*$D$8,2)</f>
        <v>900</v>
      </c>
      <c r="E12" s="45" t="s">
        <v>26</v>
      </c>
    </row>
    <row r="13" spans="1:5" ht="16.5" customHeight="1" x14ac:dyDescent="0.2">
      <c r="A13" s="28" t="s">
        <v>27</v>
      </c>
      <c r="B13" s="44">
        <v>0.08</v>
      </c>
      <c r="C13" s="26" t="s">
        <v>28</v>
      </c>
      <c r="D13" s="73">
        <f t="shared" ref="D13:D19" si="0">TRUNC(B13*$D$8,2)</f>
        <v>360</v>
      </c>
      <c r="E13" s="46" t="s">
        <v>164</v>
      </c>
    </row>
    <row r="14" spans="1:5" ht="17.25" customHeight="1" x14ac:dyDescent="0.2">
      <c r="A14" s="28" t="s">
        <v>29</v>
      </c>
      <c r="B14" s="44">
        <v>1.4999999999999999E-2</v>
      </c>
      <c r="C14" s="26" t="s">
        <v>30</v>
      </c>
      <c r="D14" s="73">
        <f t="shared" si="0"/>
        <v>67.5</v>
      </c>
      <c r="E14" s="46" t="s">
        <v>31</v>
      </c>
    </row>
    <row r="15" spans="1:5" ht="17.25" customHeight="1" x14ac:dyDescent="0.2">
      <c r="A15" s="28" t="s">
        <v>32</v>
      </c>
      <c r="B15" s="44">
        <v>0.01</v>
      </c>
      <c r="C15" s="26" t="s">
        <v>33</v>
      </c>
      <c r="D15" s="73">
        <f t="shared" si="0"/>
        <v>45</v>
      </c>
      <c r="E15" s="46" t="s">
        <v>34</v>
      </c>
    </row>
    <row r="16" spans="1:5" ht="17.25" customHeight="1" x14ac:dyDescent="0.2">
      <c r="A16" s="28" t="s">
        <v>35</v>
      </c>
      <c r="B16" s="44">
        <v>2E-3</v>
      </c>
      <c r="C16" s="26" t="s">
        <v>36</v>
      </c>
      <c r="D16" s="73">
        <f t="shared" si="0"/>
        <v>9</v>
      </c>
      <c r="E16" s="46" t="s">
        <v>37</v>
      </c>
    </row>
    <row r="17" spans="1:5" ht="17.25" customHeight="1" x14ac:dyDescent="0.2">
      <c r="A17" s="28" t="s">
        <v>38</v>
      </c>
      <c r="B17" s="44">
        <v>6.0000000000000001E-3</v>
      </c>
      <c r="C17" s="26" t="s">
        <v>39</v>
      </c>
      <c r="D17" s="73">
        <f t="shared" si="0"/>
        <v>27</v>
      </c>
      <c r="E17" s="46" t="s">
        <v>40</v>
      </c>
    </row>
    <row r="18" spans="1:5" ht="17.25" customHeight="1" x14ac:dyDescent="0.2">
      <c r="A18" s="28" t="s">
        <v>41</v>
      </c>
      <c r="B18" s="44">
        <v>2.5000000000000001E-2</v>
      </c>
      <c r="C18" s="26" t="s">
        <v>42</v>
      </c>
      <c r="D18" s="73">
        <f t="shared" si="0"/>
        <v>112.5</v>
      </c>
      <c r="E18" s="46" t="s">
        <v>43</v>
      </c>
    </row>
    <row r="19" spans="1:5" ht="17.25" customHeight="1" x14ac:dyDescent="0.2">
      <c r="A19" s="47" t="s">
        <v>44</v>
      </c>
      <c r="B19" s="69">
        <f>'Quadro Resumo'!B31</f>
        <v>0</v>
      </c>
      <c r="C19" s="26" t="s">
        <v>45</v>
      </c>
      <c r="D19" s="73">
        <f t="shared" si="0"/>
        <v>0</v>
      </c>
      <c r="E19" s="46" t="s">
        <v>162</v>
      </c>
    </row>
    <row r="20" spans="1:5" ht="17.25" customHeight="1" thickBot="1" x14ac:dyDescent="0.25">
      <c r="A20" s="4" t="s">
        <v>46</v>
      </c>
      <c r="B20" s="33">
        <f>SUM(B12:B19)</f>
        <v>0.33800000000000008</v>
      </c>
      <c r="C20" s="5" t="s">
        <v>20</v>
      </c>
      <c r="D20" s="74">
        <f>SUM(D12:D19)</f>
        <v>1521</v>
      </c>
      <c r="E20" s="7" t="s">
        <v>12</v>
      </c>
    </row>
    <row r="21" spans="1:5" ht="13.5" thickBot="1" x14ac:dyDescent="0.25">
      <c r="A21" s="68"/>
      <c r="B21" s="78"/>
      <c r="C21" s="78"/>
      <c r="D21" s="39"/>
      <c r="E21" s="48"/>
    </row>
    <row r="22" spans="1:5" ht="15.75" customHeight="1" x14ac:dyDescent="0.2">
      <c r="A22" s="3" t="s">
        <v>82</v>
      </c>
      <c r="B22" s="1" t="s">
        <v>23</v>
      </c>
      <c r="C22" s="1" t="s">
        <v>16</v>
      </c>
      <c r="D22" s="23" t="s">
        <v>11</v>
      </c>
      <c r="E22" s="2" t="s">
        <v>17</v>
      </c>
    </row>
    <row r="23" spans="1:5" ht="15.75" customHeight="1" x14ac:dyDescent="0.2">
      <c r="A23" s="28" t="s">
        <v>47</v>
      </c>
      <c r="B23" s="44">
        <f>(1/12)</f>
        <v>8.3333333333333329E-2</v>
      </c>
      <c r="C23" s="26" t="s">
        <v>88</v>
      </c>
      <c r="D23" s="73">
        <f>TRUNC(B23*$D$8,2)</f>
        <v>375</v>
      </c>
      <c r="E23" s="46" t="s">
        <v>48</v>
      </c>
    </row>
    <row r="24" spans="1:5" ht="15.75" customHeight="1" x14ac:dyDescent="0.2">
      <c r="A24" s="29" t="s">
        <v>80</v>
      </c>
      <c r="B24" s="49">
        <f>B20*B23</f>
        <v>2.8166666666666673E-2</v>
      </c>
      <c r="C24" s="58" t="s">
        <v>89</v>
      </c>
      <c r="D24" s="73">
        <f>TRUNC(B24*$D$8,2)</f>
        <v>126.75</v>
      </c>
      <c r="E24" s="62" t="s">
        <v>163</v>
      </c>
    </row>
    <row r="25" spans="1:5" ht="16.5" customHeight="1" thickBot="1" x14ac:dyDescent="0.25">
      <c r="A25" s="4" t="s">
        <v>49</v>
      </c>
      <c r="B25" s="33">
        <f>SUM(B23:B24)</f>
        <v>0.1115</v>
      </c>
      <c r="C25" s="5" t="s">
        <v>20</v>
      </c>
      <c r="D25" s="74">
        <f>SUM(D23:D24)</f>
        <v>501.75</v>
      </c>
      <c r="E25" s="7" t="s">
        <v>12</v>
      </c>
    </row>
    <row r="26" spans="1:5" ht="13.5" thickBot="1" x14ac:dyDescent="0.25">
      <c r="A26" s="50"/>
      <c r="B26" s="51"/>
      <c r="C26" s="51"/>
      <c r="D26" s="52"/>
      <c r="E26" s="53"/>
    </row>
    <row r="27" spans="1:5" ht="17.25" customHeight="1" x14ac:dyDescent="0.2">
      <c r="A27" s="3" t="s">
        <v>50</v>
      </c>
      <c r="B27" s="1" t="s">
        <v>23</v>
      </c>
      <c r="C27" s="1" t="s">
        <v>16</v>
      </c>
      <c r="D27" s="23" t="s">
        <v>11</v>
      </c>
      <c r="E27" s="2" t="s">
        <v>17</v>
      </c>
    </row>
    <row r="28" spans="1:5" ht="16.5" customHeight="1" x14ac:dyDescent="0.2">
      <c r="A28" s="28" t="s">
        <v>51</v>
      </c>
      <c r="B28" s="44">
        <f>1/12</f>
        <v>8.3333333333333329E-2</v>
      </c>
      <c r="C28" s="26" t="s">
        <v>88</v>
      </c>
      <c r="D28" s="73">
        <f t="shared" ref="D28:D34" si="1">TRUNC(B28*$D$8,2)</f>
        <v>375</v>
      </c>
      <c r="E28" s="46" t="s">
        <v>79</v>
      </c>
    </row>
    <row r="29" spans="1:5" ht="16.5" customHeight="1" x14ac:dyDescent="0.2">
      <c r="A29" s="28" t="s">
        <v>81</v>
      </c>
      <c r="B29" s="54">
        <f>(1/3)/12</f>
        <v>2.7777777777777776E-2</v>
      </c>
      <c r="C29" s="26" t="s">
        <v>95</v>
      </c>
      <c r="D29" s="73">
        <f t="shared" si="1"/>
        <v>125</v>
      </c>
      <c r="E29" s="46" t="s">
        <v>79</v>
      </c>
    </row>
    <row r="30" spans="1:5" ht="27.75" customHeight="1" x14ac:dyDescent="0.2">
      <c r="A30" s="28" t="s">
        <v>106</v>
      </c>
      <c r="B30" s="69">
        <f>D30/D8</f>
        <v>1.3924444444444444E-2</v>
      </c>
      <c r="C30" s="80" t="s">
        <v>150</v>
      </c>
      <c r="D30" s="71">
        <f>TRUNC((D63-(D57+D58))/12,2)</f>
        <v>62.66</v>
      </c>
      <c r="E30" s="46" t="s">
        <v>105</v>
      </c>
    </row>
    <row r="31" spans="1:5" ht="16.5" customHeight="1" x14ac:dyDescent="0.2">
      <c r="A31" s="28" t="s">
        <v>107</v>
      </c>
      <c r="B31" s="44">
        <f>(5.96/30)/12</f>
        <v>1.6555555555555556E-2</v>
      </c>
      <c r="C31" s="26" t="s">
        <v>99</v>
      </c>
      <c r="D31" s="73">
        <f t="shared" si="1"/>
        <v>74.5</v>
      </c>
      <c r="E31" s="46" t="s">
        <v>157</v>
      </c>
    </row>
    <row r="32" spans="1:5" ht="16.5" customHeight="1" x14ac:dyDescent="0.2">
      <c r="A32" s="28" t="s">
        <v>111</v>
      </c>
      <c r="B32" s="44">
        <f>(((15/30)/12)*0.00743)</f>
        <v>3.0958333333333331E-4</v>
      </c>
      <c r="C32" s="55" t="s">
        <v>201</v>
      </c>
      <c r="D32" s="73">
        <f t="shared" si="1"/>
        <v>1.39</v>
      </c>
      <c r="E32" s="46" t="s">
        <v>52</v>
      </c>
    </row>
    <row r="33" spans="1:5" ht="16.5" customHeight="1" x14ac:dyDescent="0.2">
      <c r="A33" s="28" t="s">
        <v>112</v>
      </c>
      <c r="B33" s="44">
        <f>(2.96/30)/12</f>
        <v>8.2222222222222228E-3</v>
      </c>
      <c r="C33" s="36" t="s">
        <v>101</v>
      </c>
      <c r="D33" s="73">
        <f t="shared" si="1"/>
        <v>37</v>
      </c>
      <c r="E33" s="46" t="s">
        <v>53</v>
      </c>
    </row>
    <row r="34" spans="1:5" ht="16.5" customHeight="1" x14ac:dyDescent="0.2">
      <c r="A34" s="28" t="s">
        <v>113</v>
      </c>
      <c r="B34" s="44">
        <f>((5/30)/12)*0.557*0.01092</f>
        <v>8.447833333333332E-5</v>
      </c>
      <c r="C34" s="30" t="s">
        <v>197</v>
      </c>
      <c r="D34" s="73">
        <f t="shared" si="1"/>
        <v>0.38</v>
      </c>
      <c r="E34" s="46" t="s">
        <v>156</v>
      </c>
    </row>
    <row r="35" spans="1:5" ht="16.5" customHeight="1" x14ac:dyDescent="0.2">
      <c r="A35" s="28" t="s">
        <v>114</v>
      </c>
      <c r="B35" s="56">
        <f>((7/30)/12)*0.9445</f>
        <v>1.8365277777777779E-2</v>
      </c>
      <c r="C35" s="80" t="s">
        <v>144</v>
      </c>
      <c r="D35" s="73">
        <f>TRUNC(B35*$D$8,2)</f>
        <v>82.64</v>
      </c>
      <c r="E35" s="62" t="s">
        <v>61</v>
      </c>
    </row>
    <row r="36" spans="1:5" ht="24" x14ac:dyDescent="0.2">
      <c r="A36" s="28" t="s">
        <v>115</v>
      </c>
      <c r="B36" s="56">
        <f>D36/D8</f>
        <v>4.4666666666666661E-4</v>
      </c>
      <c r="C36" s="80" t="s">
        <v>198</v>
      </c>
      <c r="D36" s="71">
        <f>TRUNC((((D8*(1+(1/3)))/12)+(D63-(D57+D58)))*(4/12)*0.01092*0.443,2)</f>
        <v>2.0099999999999998</v>
      </c>
      <c r="E36" s="46" t="s">
        <v>79</v>
      </c>
    </row>
    <row r="37" spans="1:5" ht="29.25" customHeight="1" x14ac:dyDescent="0.2">
      <c r="A37" s="47" t="s">
        <v>116</v>
      </c>
      <c r="B37" s="44">
        <f>B20*SUM(B28,B29,B31,B32,B33,B34,B35)</f>
        <v>5.2271101176666668E-2</v>
      </c>
      <c r="C37" s="80" t="s">
        <v>124</v>
      </c>
      <c r="D37" s="73">
        <f>TRUNC(B37*$D$8,2)</f>
        <v>235.21</v>
      </c>
      <c r="E37" s="62" t="s">
        <v>83</v>
      </c>
    </row>
    <row r="38" spans="1:5" ht="25.5" x14ac:dyDescent="0.2">
      <c r="A38" s="47" t="s">
        <v>118</v>
      </c>
      <c r="B38" s="56">
        <f>B20*B36</f>
        <v>1.5097333333333334E-4</v>
      </c>
      <c r="C38" s="30" t="s">
        <v>120</v>
      </c>
      <c r="D38" s="73">
        <f>TRUNC(B38*$D$8,2)</f>
        <v>0.67</v>
      </c>
      <c r="E38" s="46" t="s">
        <v>165</v>
      </c>
    </row>
    <row r="39" spans="1:5" ht="16.5" customHeight="1" thickBot="1" x14ac:dyDescent="0.25">
      <c r="A39" s="4" t="s">
        <v>55</v>
      </c>
      <c r="B39" s="33">
        <f>SUM(B28:B38)</f>
        <v>0.22144141395444442</v>
      </c>
      <c r="C39" s="5" t="s">
        <v>20</v>
      </c>
      <c r="D39" s="89">
        <f>SUM(D28:D38)</f>
        <v>996.45999999999992</v>
      </c>
      <c r="E39" s="7" t="s">
        <v>12</v>
      </c>
    </row>
    <row r="40" spans="1:5" ht="27.75" customHeight="1" x14ac:dyDescent="0.2">
      <c r="A40" s="100" t="s">
        <v>117</v>
      </c>
      <c r="B40" s="100" t="s">
        <v>109</v>
      </c>
      <c r="D40" s="179" t="s">
        <v>194</v>
      </c>
      <c r="E40" s="166"/>
    </row>
    <row r="41" spans="1:5" ht="16.5" customHeight="1" x14ac:dyDescent="0.2">
      <c r="A41" s="100" t="s">
        <v>108</v>
      </c>
      <c r="B41" s="173" t="s">
        <v>196</v>
      </c>
      <c r="C41" s="161"/>
      <c r="D41" s="151"/>
      <c r="E41" s="45"/>
    </row>
    <row r="42" spans="1:5" ht="16.5" customHeight="1" thickBot="1" x14ac:dyDescent="0.25">
      <c r="A42" s="140" t="s">
        <v>200</v>
      </c>
      <c r="B42" s="93" t="s">
        <v>110</v>
      </c>
      <c r="C42" s="34"/>
      <c r="D42" s="97"/>
      <c r="E42" s="98"/>
    </row>
    <row r="43" spans="1:5" ht="16.5" customHeight="1" x14ac:dyDescent="0.2">
      <c r="A43" s="3" t="s">
        <v>56</v>
      </c>
      <c r="B43" s="1" t="s">
        <v>23</v>
      </c>
      <c r="C43" s="1" t="s">
        <v>16</v>
      </c>
      <c r="D43" s="23" t="s">
        <v>11</v>
      </c>
      <c r="E43" s="2" t="s">
        <v>17</v>
      </c>
    </row>
    <row r="44" spans="1:5" ht="16.5" customHeight="1" x14ac:dyDescent="0.2">
      <c r="A44" s="29" t="s">
        <v>57</v>
      </c>
      <c r="B44" s="57">
        <f>(1/12)*0.0555</f>
        <v>4.6249999999999998E-3</v>
      </c>
      <c r="C44" s="81" t="s">
        <v>143</v>
      </c>
      <c r="D44" s="90">
        <f>TRUNC(B44*$D$8,2)</f>
        <v>20.81</v>
      </c>
      <c r="E44" s="79" t="s">
        <v>58</v>
      </c>
    </row>
    <row r="45" spans="1:5" ht="16.5" customHeight="1" x14ac:dyDescent="0.2">
      <c r="A45" s="29" t="s">
        <v>59</v>
      </c>
      <c r="B45" s="59">
        <f>(1/12)*0.055*0.08</f>
        <v>3.6666666666666667E-4</v>
      </c>
      <c r="C45" s="58" t="s">
        <v>137</v>
      </c>
      <c r="D45" s="90">
        <f>TRUNC(B45*$D$8,2)</f>
        <v>1.65</v>
      </c>
      <c r="E45" s="79" t="s">
        <v>60</v>
      </c>
    </row>
    <row r="46" spans="1:5" ht="16.5" customHeight="1" x14ac:dyDescent="0.2">
      <c r="A46" s="28" t="s">
        <v>102</v>
      </c>
      <c r="B46" s="60">
        <f>0.4*0.08</f>
        <v>3.2000000000000001E-2</v>
      </c>
      <c r="C46" s="30" t="s">
        <v>127</v>
      </c>
      <c r="D46" s="90">
        <f>TRUNC(B46*$D$8,2)</f>
        <v>144</v>
      </c>
      <c r="E46" s="79" t="s">
        <v>84</v>
      </c>
    </row>
    <row r="47" spans="1:5" ht="17.25" customHeight="1" x14ac:dyDescent="0.2">
      <c r="A47" s="28" t="s">
        <v>103</v>
      </c>
      <c r="B47" s="95">
        <f>(1/12)*0.01</f>
        <v>8.3333333333333328E-4</v>
      </c>
      <c r="C47" s="96" t="s">
        <v>121</v>
      </c>
      <c r="D47" s="90">
        <f>TRUNC(B47*$D$8,2)</f>
        <v>3.75</v>
      </c>
      <c r="E47" s="62" t="s">
        <v>87</v>
      </c>
    </row>
    <row r="48" spans="1:5" ht="17.25" customHeight="1" x14ac:dyDescent="0.2">
      <c r="A48" s="29" t="s">
        <v>104</v>
      </c>
      <c r="B48" s="60">
        <f>0.08*B32</f>
        <v>2.4766666666666664E-5</v>
      </c>
      <c r="C48" s="96" t="s">
        <v>123</v>
      </c>
      <c r="D48" s="90">
        <f>TRUNC(B48*D8,2)</f>
        <v>0.11</v>
      </c>
      <c r="E48" s="79" t="s">
        <v>158</v>
      </c>
    </row>
    <row r="49" spans="1:5" ht="17.25" customHeight="1" thickBot="1" x14ac:dyDescent="0.25">
      <c r="A49" s="4" t="s">
        <v>62</v>
      </c>
      <c r="B49" s="33">
        <f>SUM(B44:B48)</f>
        <v>3.7849766666666666E-2</v>
      </c>
      <c r="C49" s="5" t="s">
        <v>20</v>
      </c>
      <c r="D49" s="74">
        <f>SUM(D44:D48)</f>
        <v>170.32000000000002</v>
      </c>
      <c r="E49" s="7" t="s">
        <v>12</v>
      </c>
    </row>
    <row r="50" spans="1:5" ht="13.5" x14ac:dyDescent="0.2">
      <c r="A50" s="91" t="s">
        <v>141</v>
      </c>
      <c r="B50" s="178" t="s">
        <v>140</v>
      </c>
      <c r="C50" s="158"/>
      <c r="D50" s="158"/>
      <c r="E50" s="159"/>
    </row>
    <row r="51" spans="1:5" ht="14.25" thickBot="1" x14ac:dyDescent="0.25">
      <c r="A51" s="77" t="s">
        <v>129</v>
      </c>
      <c r="B51" s="173" t="s">
        <v>147</v>
      </c>
      <c r="C51" s="160"/>
      <c r="D51" s="160"/>
      <c r="E51" s="174"/>
    </row>
    <row r="52" spans="1:5" ht="16.5" customHeight="1" thickBot="1" x14ac:dyDescent="0.25">
      <c r="A52" s="8" t="s">
        <v>63</v>
      </c>
      <c r="B52" s="87">
        <f>SUM(B49,B39,B25,B20)</f>
        <v>0.70879118062111113</v>
      </c>
      <c r="C52" s="10" t="s">
        <v>64</v>
      </c>
      <c r="D52" s="88">
        <f>SUM(D20,D25,D39,D49)</f>
        <v>3189.53</v>
      </c>
      <c r="E52" s="11" t="s">
        <v>12</v>
      </c>
    </row>
    <row r="53" spans="1:5" ht="13.5" thickBot="1" x14ac:dyDescent="0.25">
      <c r="A53" s="78"/>
      <c r="B53" s="78"/>
      <c r="C53" s="78"/>
      <c r="D53" s="61"/>
      <c r="E53" s="78"/>
    </row>
    <row r="54" spans="1:5" ht="16.5" customHeight="1" thickBot="1" x14ac:dyDescent="0.25">
      <c r="A54" s="155" t="s">
        <v>153</v>
      </c>
      <c r="B54" s="156"/>
      <c r="C54" s="156"/>
      <c r="D54" s="156"/>
      <c r="E54" s="157"/>
    </row>
    <row r="55" spans="1:5" ht="17.25" customHeight="1" x14ac:dyDescent="0.2">
      <c r="A55" s="3" t="s">
        <v>152</v>
      </c>
      <c r="B55" s="84" t="s">
        <v>11</v>
      </c>
      <c r="C55" s="1" t="s">
        <v>16</v>
      </c>
      <c r="D55" s="23" t="s">
        <v>11</v>
      </c>
      <c r="E55" s="2" t="s">
        <v>17</v>
      </c>
    </row>
    <row r="56" spans="1:5" ht="25.5" x14ac:dyDescent="0.2">
      <c r="A56" s="28" t="s">
        <v>168</v>
      </c>
      <c r="B56" s="85">
        <v>34.18</v>
      </c>
      <c r="C56" s="26" t="str">
        <f>B56 &amp; " * 22"</f>
        <v>34,18 * 22</v>
      </c>
      <c r="D56" s="73">
        <f>TRUNC(B56*22,2)</f>
        <v>751.96</v>
      </c>
      <c r="E56" s="27" t="s">
        <v>185</v>
      </c>
    </row>
    <row r="57" spans="1:5" ht="25.5" x14ac:dyDescent="0.2">
      <c r="A57" s="28" t="s">
        <v>85</v>
      </c>
      <c r="B57" s="85">
        <v>5.25</v>
      </c>
      <c r="C57" s="26" t="str">
        <f>B57&amp; " * 4 * 22"</f>
        <v>5,25 * 4 * 22</v>
      </c>
      <c r="D57" s="73">
        <f>TRUNC(B57*22*4,2)</f>
        <v>462</v>
      </c>
      <c r="E57" s="27" t="s">
        <v>186</v>
      </c>
    </row>
    <row r="58" spans="1:5" ht="17.25" customHeight="1" x14ac:dyDescent="0.2">
      <c r="A58" s="28" t="s">
        <v>86</v>
      </c>
      <c r="B58" s="85">
        <f>D58</f>
        <v>-270</v>
      </c>
      <c r="C58" s="26" t="s">
        <v>65</v>
      </c>
      <c r="D58" s="73">
        <f>IF(D57&gt;=TRUNC(0.06*D7,2),TRUNC(-0.06*D7,2),-D57)</f>
        <v>-270</v>
      </c>
      <c r="E58" s="62" t="s">
        <v>90</v>
      </c>
    </row>
    <row r="59" spans="1:5" ht="17.25" customHeight="1" x14ac:dyDescent="0.2">
      <c r="A59" s="28" t="s">
        <v>75</v>
      </c>
      <c r="B59" s="85">
        <f>'Quadro Resumo'!B26</f>
        <v>0</v>
      </c>
      <c r="C59" s="26" t="str">
        <f>B59 &amp; " * 3"</f>
        <v>0 * 3</v>
      </c>
      <c r="D59" s="73">
        <f>ROUND(B59*3,2)</f>
        <v>0</v>
      </c>
      <c r="E59" s="132" t="s">
        <v>166</v>
      </c>
    </row>
    <row r="60" spans="1:5" ht="17.25" customHeight="1" x14ac:dyDescent="0.2">
      <c r="A60" s="68" t="s">
        <v>126</v>
      </c>
      <c r="B60" s="136">
        <f>'Quadro Resumo'!B27</f>
        <v>0</v>
      </c>
      <c r="C60" s="58" t="str">
        <f>B60&amp;" * 3/12"</f>
        <v>0 * 3/12</v>
      </c>
      <c r="D60" s="75">
        <f>ROUND(B60*3/12,2)</f>
        <v>0</v>
      </c>
      <c r="E60" s="137" t="s">
        <v>166</v>
      </c>
    </row>
    <row r="61" spans="1:5" ht="33.75" customHeight="1" x14ac:dyDescent="0.2">
      <c r="A61" s="138" t="s">
        <v>178</v>
      </c>
      <c r="B61" s="133">
        <f>ROUNDUP('CUSTOS DE VALOR SUBJETIVO'!B9/12,2)</f>
        <v>0</v>
      </c>
      <c r="C61" s="30" t="s">
        <v>135</v>
      </c>
      <c r="D61" s="73">
        <f>B61</f>
        <v>0</v>
      </c>
      <c r="E61" s="132" t="s">
        <v>179</v>
      </c>
    </row>
    <row r="62" spans="1:5" ht="31.5" customHeight="1" x14ac:dyDescent="0.2">
      <c r="A62" s="29" t="s">
        <v>130</v>
      </c>
      <c r="B62" s="85">
        <f>ROUNDUP('CUSTOS DE VALOR SUBJETIVO'!B17/12,2)</f>
        <v>0</v>
      </c>
      <c r="C62" s="58" t="s">
        <v>135</v>
      </c>
      <c r="D62" s="75">
        <f>B62</f>
        <v>0</v>
      </c>
      <c r="E62" s="82" t="s">
        <v>94</v>
      </c>
    </row>
    <row r="63" spans="1:5" ht="17.25" customHeight="1" thickBot="1" x14ac:dyDescent="0.25">
      <c r="A63" s="4" t="s">
        <v>96</v>
      </c>
      <c r="B63" s="86"/>
      <c r="C63" s="5" t="s">
        <v>20</v>
      </c>
      <c r="D63" s="74">
        <f>SUM(D56:D62)</f>
        <v>943.96</v>
      </c>
      <c r="E63" s="7" t="s">
        <v>12</v>
      </c>
    </row>
    <row r="64" spans="1:5" x14ac:dyDescent="0.2">
      <c r="A64" s="175" t="s">
        <v>167</v>
      </c>
      <c r="B64" s="176"/>
      <c r="C64" s="176"/>
      <c r="D64" s="176"/>
      <c r="E64" s="176"/>
    </row>
    <row r="65" spans="1:5" ht="13.5" thickBot="1" x14ac:dyDescent="0.25">
      <c r="A65" s="177"/>
      <c r="B65" s="177"/>
      <c r="C65" s="177"/>
      <c r="D65" s="177"/>
      <c r="E65" s="177"/>
    </row>
    <row r="66" spans="1:5" ht="30.75" customHeight="1" thickBot="1" x14ac:dyDescent="0.25">
      <c r="A66" s="12" t="s">
        <v>66</v>
      </c>
      <c r="B66" s="9" t="s">
        <v>12</v>
      </c>
      <c r="C66" s="9" t="s">
        <v>67</v>
      </c>
      <c r="D66" s="32">
        <f>SUM(D8,D52,D63)</f>
        <v>8633.4900000000016</v>
      </c>
      <c r="E66" s="11" t="s">
        <v>12</v>
      </c>
    </row>
    <row r="67" spans="1:5" ht="13.5" thickBot="1" x14ac:dyDescent="0.25">
      <c r="A67" s="63"/>
      <c r="B67" s="64"/>
      <c r="C67" s="64"/>
      <c r="D67" s="65"/>
      <c r="E67" s="66"/>
    </row>
    <row r="68" spans="1:5" ht="17.25" customHeight="1" x14ac:dyDescent="0.2">
      <c r="A68" s="3" t="s">
        <v>119</v>
      </c>
      <c r="B68" s="1" t="s">
        <v>23</v>
      </c>
      <c r="C68" s="1" t="s">
        <v>16</v>
      </c>
      <c r="D68" s="23" t="s">
        <v>11</v>
      </c>
      <c r="E68" s="2" t="s">
        <v>17</v>
      </c>
    </row>
    <row r="69" spans="1:5" ht="17.25" customHeight="1" x14ac:dyDescent="0.2">
      <c r="A69" s="28" t="s">
        <v>98</v>
      </c>
      <c r="B69" s="69">
        <f>'Quadro Resumo'!B21</f>
        <v>0</v>
      </c>
      <c r="C69" s="134" t="s">
        <v>12</v>
      </c>
      <c r="D69" s="83">
        <f>TRUNC(B69*D66,2)</f>
        <v>0</v>
      </c>
      <c r="E69" s="40" t="s">
        <v>12</v>
      </c>
    </row>
    <row r="70" spans="1:5" ht="30.75" customHeight="1" x14ac:dyDescent="0.2">
      <c r="A70" s="28" t="s">
        <v>6</v>
      </c>
      <c r="B70" s="69">
        <f>'Quadro Resumo'!B22</f>
        <v>0</v>
      </c>
      <c r="C70" s="26" t="s">
        <v>135</v>
      </c>
      <c r="D70" s="83">
        <f>TRUNC(B70*D66,2)</f>
        <v>0</v>
      </c>
      <c r="E70" s="27" t="s">
        <v>136</v>
      </c>
    </row>
    <row r="71" spans="1:5" ht="16.5" customHeight="1" thickBot="1" x14ac:dyDescent="0.25">
      <c r="A71" s="4" t="s">
        <v>68</v>
      </c>
      <c r="B71" s="33">
        <f>SUM(B69:B70)</f>
        <v>0</v>
      </c>
      <c r="C71" s="5" t="s">
        <v>20</v>
      </c>
      <c r="D71" s="72">
        <f>SUM(D69:D70)</f>
        <v>0</v>
      </c>
      <c r="E71" s="7" t="s">
        <v>12</v>
      </c>
    </row>
    <row r="72" spans="1:5" ht="24" customHeight="1" thickBot="1" x14ac:dyDescent="0.25">
      <c r="A72" s="99"/>
      <c r="B72" s="78"/>
      <c r="C72" s="78"/>
      <c r="D72" s="39"/>
      <c r="E72" s="78"/>
    </row>
    <row r="73" spans="1:5" ht="16.5" customHeight="1" x14ac:dyDescent="0.2">
      <c r="A73" s="13" t="s">
        <v>69</v>
      </c>
      <c r="B73" s="1" t="s">
        <v>23</v>
      </c>
      <c r="C73" s="1" t="s">
        <v>16</v>
      </c>
      <c r="D73" s="23" t="s">
        <v>11</v>
      </c>
      <c r="E73" s="2" t="s">
        <v>17</v>
      </c>
    </row>
    <row r="74" spans="1:5" ht="16.5" customHeight="1" x14ac:dyDescent="0.2">
      <c r="A74" s="28" t="s">
        <v>7</v>
      </c>
      <c r="B74" s="69">
        <f>'Quadro Resumo'!B34</f>
        <v>0</v>
      </c>
      <c r="C74" s="171" t="s">
        <v>97</v>
      </c>
      <c r="D74" s="73">
        <f>TRUNC((($D$66+$D$71)/(1-(($B$74+$B$75+$B$76))))*(B74),2)</f>
        <v>0</v>
      </c>
      <c r="E74" s="62" t="s">
        <v>93</v>
      </c>
    </row>
    <row r="75" spans="1:5" ht="16.5" customHeight="1" x14ac:dyDescent="0.2">
      <c r="A75" s="28" t="s">
        <v>8</v>
      </c>
      <c r="B75" s="69">
        <f>'Quadro Resumo'!B35</f>
        <v>0</v>
      </c>
      <c r="C75" s="172"/>
      <c r="D75" s="73">
        <f>TRUNC((($D$66+$D$71)/(1-(($B$74+$B$75+$B$76))))*(B75),2)</f>
        <v>0</v>
      </c>
      <c r="E75" s="27" t="s">
        <v>92</v>
      </c>
    </row>
    <row r="76" spans="1:5" ht="16.5" customHeight="1" x14ac:dyDescent="0.2">
      <c r="A76" s="28" t="s">
        <v>9</v>
      </c>
      <c r="B76" s="69">
        <f>'Quadro Resumo'!B36</f>
        <v>0</v>
      </c>
      <c r="C76" s="172"/>
      <c r="D76" s="73">
        <f>TRUNC((($D$66+$D$71)/(1-(($B$74+$B$75+$B$76))))*(B76),2)</f>
        <v>0</v>
      </c>
      <c r="E76" s="62" t="s">
        <v>91</v>
      </c>
    </row>
    <row r="77" spans="1:5" ht="16.5" customHeight="1" thickBot="1" x14ac:dyDescent="0.25">
      <c r="A77" s="4" t="s">
        <v>70</v>
      </c>
      <c r="B77" s="33">
        <f>SUM(B74:B76)</f>
        <v>0</v>
      </c>
      <c r="C77" s="5" t="s">
        <v>20</v>
      </c>
      <c r="D77" s="74">
        <f>SUM(D74:D76)</f>
        <v>0</v>
      </c>
      <c r="E77" s="7" t="s">
        <v>12</v>
      </c>
    </row>
    <row r="78" spans="1:5" ht="13.5" thickBot="1" x14ac:dyDescent="0.25">
      <c r="A78" s="68"/>
      <c r="B78" s="78"/>
      <c r="C78" s="78"/>
      <c r="D78" s="39"/>
      <c r="E78" s="78"/>
    </row>
    <row r="79" spans="1:5" ht="16.5" customHeight="1" thickBot="1" x14ac:dyDescent="0.25">
      <c r="A79" s="14" t="s">
        <v>71</v>
      </c>
      <c r="B79" s="15" t="s">
        <v>12</v>
      </c>
      <c r="C79" s="1" t="s">
        <v>16</v>
      </c>
      <c r="D79" s="24" t="s">
        <v>72</v>
      </c>
      <c r="E79" s="2" t="s">
        <v>73</v>
      </c>
    </row>
    <row r="80" spans="1:5" ht="16.5" customHeight="1" thickBot="1" x14ac:dyDescent="0.25">
      <c r="A80" s="16"/>
      <c r="B80" s="17" t="s">
        <v>12</v>
      </c>
      <c r="C80" s="17" t="s">
        <v>74</v>
      </c>
      <c r="D80" s="94">
        <f>TRUNC(SUM(D66,D71,D77),2)</f>
        <v>8633.49</v>
      </c>
      <c r="E80" s="31">
        <f>D80*12</f>
        <v>103601.88</v>
      </c>
    </row>
    <row r="81" spans="1:5" ht="13.5" thickBot="1" x14ac:dyDescent="0.25">
      <c r="A81" s="34"/>
      <c r="B81" s="34"/>
      <c r="C81" s="34"/>
      <c r="D81" s="67"/>
      <c r="E81" s="34"/>
    </row>
    <row r="82" spans="1:5" x14ac:dyDescent="0.2">
      <c r="A82" s="14" t="s">
        <v>171</v>
      </c>
      <c r="B82" s="135" t="s">
        <v>12</v>
      </c>
      <c r="C82" s="141" t="s">
        <v>16</v>
      </c>
      <c r="D82" s="24" t="s">
        <v>11</v>
      </c>
      <c r="E82" s="142" t="s">
        <v>173</v>
      </c>
    </row>
    <row r="83" spans="1:5" ht="20.25" customHeight="1" x14ac:dyDescent="0.2">
      <c r="A83" s="28" t="s">
        <v>172</v>
      </c>
      <c r="B83" s="73">
        <f>E80</f>
        <v>103601.88</v>
      </c>
      <c r="C83" s="143" t="s">
        <v>202</v>
      </c>
      <c r="D83" s="144">
        <f>B83*5</f>
        <v>518009.4</v>
      </c>
      <c r="E83" s="167">
        <f>D83+D84</f>
        <v>518009.4</v>
      </c>
    </row>
    <row r="84" spans="1:5" ht="27.75" customHeight="1" thickBot="1" x14ac:dyDescent="0.25">
      <c r="A84" s="145" t="s">
        <v>203</v>
      </c>
      <c r="B84" s="70">
        <f>'Quadro Resumo'!C17</f>
        <v>0</v>
      </c>
      <c r="C84" s="37" t="s">
        <v>204</v>
      </c>
      <c r="D84" s="146">
        <f>'Quadro Resumo'!C17</f>
        <v>0</v>
      </c>
      <c r="E84" s="168"/>
    </row>
  </sheetData>
  <sheetProtection algorithmName="SHA-512" hashValue="d2vwmrbJ9tgUtN7VceCr/68P03QOlp2HP6eGGBrHkr29FhL11sUG1HLVqOmVSGmE/aP0TFBcn9LzEseqPjzTRg==" saltValue="APJ6mqO1W2o4AX3DAj0Gkw==" spinCount="100000" sheet="1" objects="1" scenarios="1"/>
  <mergeCells count="11">
    <mergeCell ref="E83:E84"/>
    <mergeCell ref="B51:E51"/>
    <mergeCell ref="A54:E54"/>
    <mergeCell ref="A64:E65"/>
    <mergeCell ref="C74:C76"/>
    <mergeCell ref="B50:E50"/>
    <mergeCell ref="A1:E1"/>
    <mergeCell ref="A3:C3"/>
    <mergeCell ref="A10:E10"/>
    <mergeCell ref="D40:E40"/>
    <mergeCell ref="B41:D41"/>
  </mergeCells>
  <conditionalFormatting sqref="B62">
    <cfRule type="expression" dxfId="4" priority="1">
      <formula>ISBLANK($B$62)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B1165-7375-43A2-9B1D-34803F5B05F4}">
  <sheetPr>
    <tabColor theme="5" tint="-0.249977111117893"/>
    <pageSetUpPr fitToPage="1"/>
  </sheetPr>
  <dimension ref="A1:E84"/>
  <sheetViews>
    <sheetView showGridLines="0" zoomScale="90" zoomScaleNormal="90" workbookViewId="0">
      <selection activeCell="D57" sqref="D57"/>
    </sheetView>
  </sheetViews>
  <sheetFormatPr defaultColWidth="9.140625" defaultRowHeight="12.75" x14ac:dyDescent="0.2"/>
  <cols>
    <col min="1" max="1" width="70.140625" style="21" customWidth="1"/>
    <col min="2" max="2" width="15.140625" style="21" customWidth="1"/>
    <col min="3" max="3" width="64.5703125" style="21" customWidth="1"/>
    <col min="4" max="4" width="15.7109375" style="25" bestFit="1" customWidth="1"/>
    <col min="5" max="5" width="57.85546875" style="21" customWidth="1"/>
    <col min="6" max="6" width="1.7109375" style="21" customWidth="1"/>
    <col min="7" max="16384" width="9.140625" style="21"/>
  </cols>
  <sheetData>
    <row r="1" spans="1:5" ht="20.25" thickBot="1" x14ac:dyDescent="0.25">
      <c r="A1" s="152" t="str">
        <f>"PLANILHA DE COMPOSIÇÃO DE CUSTOS E FORMAÇÃO DE PREÇOS - " &amp; 'Quadro Resumo'!A10</f>
        <v>PLANILHA DE COMPOSIÇÃO DE CUSTOS E FORMAÇÃO DE PREÇOS - Assistente administrativo e contábil II</v>
      </c>
      <c r="B1" s="153"/>
      <c r="C1" s="153"/>
      <c r="D1" s="153"/>
      <c r="E1" s="154"/>
    </row>
    <row r="2" spans="1:5" ht="20.25" thickBot="1" x14ac:dyDescent="0.25">
      <c r="A2" s="18"/>
      <c r="B2" s="19"/>
      <c r="C2" s="19"/>
      <c r="D2" s="22"/>
      <c r="E2" s="20"/>
    </row>
    <row r="3" spans="1:5" ht="17.25" customHeight="1" x14ac:dyDescent="0.2">
      <c r="A3" s="162" t="s">
        <v>155</v>
      </c>
      <c r="B3" s="163"/>
      <c r="C3" s="164"/>
      <c r="D3" s="1" t="s">
        <v>11</v>
      </c>
      <c r="E3" s="1" t="s">
        <v>12</v>
      </c>
    </row>
    <row r="4" spans="1:5" ht="17.25" customHeight="1" thickBot="1" x14ac:dyDescent="0.25">
      <c r="A4" s="35" t="str">
        <f>'Quadro Resumo'!A10</f>
        <v>Assistente administrativo e contábil II</v>
      </c>
      <c r="B4" s="37"/>
      <c r="C4" s="37" t="s">
        <v>13</v>
      </c>
      <c r="D4" s="70">
        <f>'Quadro Resumo'!B10</f>
        <v>6730.94</v>
      </c>
      <c r="E4" s="38" t="s">
        <v>12</v>
      </c>
    </row>
    <row r="5" spans="1:5" ht="13.5" thickBot="1" x14ac:dyDescent="0.25">
      <c r="A5" s="68"/>
      <c r="B5" s="78"/>
      <c r="C5" s="78"/>
      <c r="D5" s="39"/>
      <c r="E5" s="78"/>
    </row>
    <row r="6" spans="1:5" ht="17.25" customHeight="1" x14ac:dyDescent="0.2">
      <c r="A6" s="3" t="s">
        <v>14</v>
      </c>
      <c r="B6" s="1" t="s">
        <v>15</v>
      </c>
      <c r="C6" s="1" t="s">
        <v>16</v>
      </c>
      <c r="D6" s="23" t="s">
        <v>11</v>
      </c>
      <c r="E6" s="2" t="s">
        <v>17</v>
      </c>
    </row>
    <row r="7" spans="1:5" ht="17.25" customHeight="1" x14ac:dyDescent="0.2">
      <c r="A7" s="28" t="s">
        <v>18</v>
      </c>
      <c r="B7" s="58" t="s">
        <v>12</v>
      </c>
      <c r="C7" s="26" t="s">
        <v>12</v>
      </c>
      <c r="D7" s="71">
        <f>TRUNC(D4,2)</f>
        <v>6730.94</v>
      </c>
      <c r="E7" s="40"/>
    </row>
    <row r="8" spans="1:5" ht="16.5" customHeight="1" thickBot="1" x14ac:dyDescent="0.25">
      <c r="A8" s="4" t="s">
        <v>19</v>
      </c>
      <c r="B8" s="5" t="s">
        <v>12</v>
      </c>
      <c r="C8" s="6" t="s">
        <v>20</v>
      </c>
      <c r="D8" s="72">
        <f>SUM(D7:D7)</f>
        <v>6730.94</v>
      </c>
      <c r="E8" s="7" t="s">
        <v>12</v>
      </c>
    </row>
    <row r="9" spans="1:5" ht="13.5" customHeight="1" thickBot="1" x14ac:dyDescent="0.25">
      <c r="A9" s="41"/>
      <c r="B9" s="42"/>
      <c r="C9" s="43"/>
      <c r="D9" s="39"/>
      <c r="E9" s="78"/>
    </row>
    <row r="10" spans="1:5" ht="16.5" customHeight="1" thickBot="1" x14ac:dyDescent="0.25">
      <c r="A10" s="155" t="s">
        <v>21</v>
      </c>
      <c r="B10" s="156"/>
      <c r="C10" s="156"/>
      <c r="D10" s="156"/>
      <c r="E10" s="157"/>
    </row>
    <row r="11" spans="1:5" ht="16.5" customHeight="1" x14ac:dyDescent="0.2">
      <c r="A11" s="3" t="s">
        <v>22</v>
      </c>
      <c r="B11" s="1" t="s">
        <v>23</v>
      </c>
      <c r="C11" s="1" t="s">
        <v>16</v>
      </c>
      <c r="D11" s="23" t="s">
        <v>11</v>
      </c>
      <c r="E11" s="2" t="s">
        <v>17</v>
      </c>
    </row>
    <row r="12" spans="1:5" ht="16.5" customHeight="1" x14ac:dyDescent="0.2">
      <c r="A12" s="28" t="s">
        <v>24</v>
      </c>
      <c r="B12" s="44">
        <v>0.2</v>
      </c>
      <c r="C12" s="26" t="s">
        <v>25</v>
      </c>
      <c r="D12" s="73">
        <f>TRUNC(B12*$D$8,2)</f>
        <v>1346.18</v>
      </c>
      <c r="E12" s="45" t="s">
        <v>26</v>
      </c>
    </row>
    <row r="13" spans="1:5" ht="16.5" customHeight="1" x14ac:dyDescent="0.2">
      <c r="A13" s="28" t="s">
        <v>27</v>
      </c>
      <c r="B13" s="44">
        <v>0.08</v>
      </c>
      <c r="C13" s="26" t="s">
        <v>28</v>
      </c>
      <c r="D13" s="73">
        <f t="shared" ref="D13:D19" si="0">TRUNC(B13*$D$8,2)</f>
        <v>538.47</v>
      </c>
      <c r="E13" s="46" t="s">
        <v>164</v>
      </c>
    </row>
    <row r="14" spans="1:5" ht="17.25" customHeight="1" x14ac:dyDescent="0.2">
      <c r="A14" s="28" t="s">
        <v>29</v>
      </c>
      <c r="B14" s="44">
        <v>1.4999999999999999E-2</v>
      </c>
      <c r="C14" s="26" t="s">
        <v>30</v>
      </c>
      <c r="D14" s="73">
        <f t="shared" si="0"/>
        <v>100.96</v>
      </c>
      <c r="E14" s="46" t="s">
        <v>31</v>
      </c>
    </row>
    <row r="15" spans="1:5" ht="17.25" customHeight="1" x14ac:dyDescent="0.2">
      <c r="A15" s="28" t="s">
        <v>32</v>
      </c>
      <c r="B15" s="44">
        <v>0.01</v>
      </c>
      <c r="C15" s="26" t="s">
        <v>33</v>
      </c>
      <c r="D15" s="73">
        <f t="shared" si="0"/>
        <v>67.3</v>
      </c>
      <c r="E15" s="46" t="s">
        <v>34</v>
      </c>
    </row>
    <row r="16" spans="1:5" ht="17.25" customHeight="1" x14ac:dyDescent="0.2">
      <c r="A16" s="28" t="s">
        <v>35</v>
      </c>
      <c r="B16" s="44">
        <v>2E-3</v>
      </c>
      <c r="C16" s="26" t="s">
        <v>36</v>
      </c>
      <c r="D16" s="73">
        <f t="shared" si="0"/>
        <v>13.46</v>
      </c>
      <c r="E16" s="46" t="s">
        <v>37</v>
      </c>
    </row>
    <row r="17" spans="1:5" ht="17.25" customHeight="1" x14ac:dyDescent="0.2">
      <c r="A17" s="28" t="s">
        <v>38</v>
      </c>
      <c r="B17" s="44">
        <v>6.0000000000000001E-3</v>
      </c>
      <c r="C17" s="26" t="s">
        <v>39</v>
      </c>
      <c r="D17" s="73">
        <f t="shared" si="0"/>
        <v>40.380000000000003</v>
      </c>
      <c r="E17" s="46" t="s">
        <v>40</v>
      </c>
    </row>
    <row r="18" spans="1:5" ht="17.25" customHeight="1" x14ac:dyDescent="0.2">
      <c r="A18" s="28" t="s">
        <v>41</v>
      </c>
      <c r="B18" s="44">
        <v>2.5000000000000001E-2</v>
      </c>
      <c r="C18" s="26" t="s">
        <v>42</v>
      </c>
      <c r="D18" s="73">
        <f t="shared" si="0"/>
        <v>168.27</v>
      </c>
      <c r="E18" s="46" t="s">
        <v>43</v>
      </c>
    </row>
    <row r="19" spans="1:5" ht="17.25" customHeight="1" x14ac:dyDescent="0.2">
      <c r="A19" s="47" t="s">
        <v>44</v>
      </c>
      <c r="B19" s="69">
        <f>'Quadro Resumo'!B31</f>
        <v>0</v>
      </c>
      <c r="C19" s="26" t="s">
        <v>45</v>
      </c>
      <c r="D19" s="73">
        <f t="shared" si="0"/>
        <v>0</v>
      </c>
      <c r="E19" s="46" t="s">
        <v>162</v>
      </c>
    </row>
    <row r="20" spans="1:5" ht="17.25" customHeight="1" thickBot="1" x14ac:dyDescent="0.25">
      <c r="A20" s="4" t="s">
        <v>46</v>
      </c>
      <c r="B20" s="33">
        <f>SUM(B12:B19)</f>
        <v>0.33800000000000008</v>
      </c>
      <c r="C20" s="5" t="s">
        <v>20</v>
      </c>
      <c r="D20" s="74">
        <f>SUM(D12:D19)</f>
        <v>2275.0200000000004</v>
      </c>
      <c r="E20" s="7" t="s">
        <v>12</v>
      </c>
    </row>
    <row r="21" spans="1:5" ht="13.5" thickBot="1" x14ac:dyDescent="0.25">
      <c r="A21" s="68"/>
      <c r="B21" s="78"/>
      <c r="C21" s="78"/>
      <c r="D21" s="39"/>
      <c r="E21" s="48"/>
    </row>
    <row r="22" spans="1:5" ht="15.75" customHeight="1" x14ac:dyDescent="0.2">
      <c r="A22" s="3" t="s">
        <v>82</v>
      </c>
      <c r="B22" s="1" t="s">
        <v>23</v>
      </c>
      <c r="C22" s="1" t="s">
        <v>16</v>
      </c>
      <c r="D22" s="23" t="s">
        <v>11</v>
      </c>
      <c r="E22" s="2" t="s">
        <v>17</v>
      </c>
    </row>
    <row r="23" spans="1:5" ht="15.75" customHeight="1" x14ac:dyDescent="0.2">
      <c r="A23" s="28" t="s">
        <v>47</v>
      </c>
      <c r="B23" s="44">
        <f>(1/12)</f>
        <v>8.3333333333333329E-2</v>
      </c>
      <c r="C23" s="26" t="s">
        <v>88</v>
      </c>
      <c r="D23" s="73">
        <f>TRUNC(B23*$D$8,2)</f>
        <v>560.91</v>
      </c>
      <c r="E23" s="46" t="s">
        <v>48</v>
      </c>
    </row>
    <row r="24" spans="1:5" ht="15.75" customHeight="1" x14ac:dyDescent="0.2">
      <c r="A24" s="29" t="s">
        <v>80</v>
      </c>
      <c r="B24" s="49">
        <f>B20*B23</f>
        <v>2.8166666666666673E-2</v>
      </c>
      <c r="C24" s="58" t="s">
        <v>89</v>
      </c>
      <c r="D24" s="73">
        <f>TRUNC(B24*$D$8,2)</f>
        <v>189.58</v>
      </c>
      <c r="E24" s="62" t="s">
        <v>163</v>
      </c>
    </row>
    <row r="25" spans="1:5" ht="16.5" customHeight="1" thickBot="1" x14ac:dyDescent="0.25">
      <c r="A25" s="4" t="s">
        <v>49</v>
      </c>
      <c r="B25" s="33">
        <f>SUM(B23:B24)</f>
        <v>0.1115</v>
      </c>
      <c r="C25" s="5" t="s">
        <v>20</v>
      </c>
      <c r="D25" s="74">
        <f>SUM(D23:D24)</f>
        <v>750.49</v>
      </c>
      <c r="E25" s="7" t="s">
        <v>12</v>
      </c>
    </row>
    <row r="26" spans="1:5" ht="13.5" thickBot="1" x14ac:dyDescent="0.25">
      <c r="A26" s="50"/>
      <c r="B26" s="51"/>
      <c r="C26" s="51"/>
      <c r="D26" s="52"/>
      <c r="E26" s="53"/>
    </row>
    <row r="27" spans="1:5" ht="17.25" customHeight="1" x14ac:dyDescent="0.2">
      <c r="A27" s="3" t="s">
        <v>50</v>
      </c>
      <c r="B27" s="1" t="s">
        <v>23</v>
      </c>
      <c r="C27" s="1" t="s">
        <v>16</v>
      </c>
      <c r="D27" s="23" t="s">
        <v>11</v>
      </c>
      <c r="E27" s="2" t="s">
        <v>17</v>
      </c>
    </row>
    <row r="28" spans="1:5" ht="16.5" customHeight="1" x14ac:dyDescent="0.2">
      <c r="A28" s="28" t="s">
        <v>51</v>
      </c>
      <c r="B28" s="44">
        <f>1/12</f>
        <v>8.3333333333333329E-2</v>
      </c>
      <c r="C28" s="26" t="s">
        <v>88</v>
      </c>
      <c r="D28" s="73">
        <f t="shared" ref="D28:D34" si="1">TRUNC(B28*$D$8,2)</f>
        <v>560.91</v>
      </c>
      <c r="E28" s="46" t="s">
        <v>79</v>
      </c>
    </row>
    <row r="29" spans="1:5" ht="16.5" customHeight="1" x14ac:dyDescent="0.2">
      <c r="A29" s="28" t="s">
        <v>81</v>
      </c>
      <c r="B29" s="54">
        <f>(1/3)/12</f>
        <v>2.7777777777777776E-2</v>
      </c>
      <c r="C29" s="26" t="s">
        <v>95</v>
      </c>
      <c r="D29" s="73">
        <f t="shared" si="1"/>
        <v>186.97</v>
      </c>
      <c r="E29" s="46" t="s">
        <v>79</v>
      </c>
    </row>
    <row r="30" spans="1:5" ht="27.75" customHeight="1" x14ac:dyDescent="0.2">
      <c r="A30" s="28" t="s">
        <v>106</v>
      </c>
      <c r="B30" s="69">
        <f>D30/D8</f>
        <v>9.3092495253263297E-3</v>
      </c>
      <c r="C30" s="80" t="s">
        <v>150</v>
      </c>
      <c r="D30" s="71">
        <f>TRUNC((D63-(D57+D58))/12,2)</f>
        <v>62.66</v>
      </c>
      <c r="E30" s="46" t="s">
        <v>105</v>
      </c>
    </row>
    <row r="31" spans="1:5" ht="16.5" customHeight="1" x14ac:dyDescent="0.2">
      <c r="A31" s="28" t="s">
        <v>107</v>
      </c>
      <c r="B31" s="44">
        <f>(5.96/30)/12</f>
        <v>1.6555555555555556E-2</v>
      </c>
      <c r="C31" s="26" t="s">
        <v>99</v>
      </c>
      <c r="D31" s="73">
        <f t="shared" si="1"/>
        <v>111.43</v>
      </c>
      <c r="E31" s="46" t="s">
        <v>157</v>
      </c>
    </row>
    <row r="32" spans="1:5" ht="16.5" customHeight="1" x14ac:dyDescent="0.2">
      <c r="A32" s="28" t="s">
        <v>111</v>
      </c>
      <c r="B32" s="44">
        <f>(((15/30)/12)*0.00743)</f>
        <v>3.0958333333333331E-4</v>
      </c>
      <c r="C32" s="55" t="s">
        <v>201</v>
      </c>
      <c r="D32" s="73">
        <f t="shared" si="1"/>
        <v>2.08</v>
      </c>
      <c r="E32" s="46" t="s">
        <v>52</v>
      </c>
    </row>
    <row r="33" spans="1:5" ht="16.5" customHeight="1" x14ac:dyDescent="0.2">
      <c r="A33" s="28" t="s">
        <v>112</v>
      </c>
      <c r="B33" s="44">
        <f>(2.96/30)/12</f>
        <v>8.2222222222222228E-3</v>
      </c>
      <c r="C33" s="36" t="s">
        <v>101</v>
      </c>
      <c r="D33" s="73">
        <f t="shared" si="1"/>
        <v>55.34</v>
      </c>
      <c r="E33" s="46" t="s">
        <v>53</v>
      </c>
    </row>
    <row r="34" spans="1:5" ht="16.5" customHeight="1" x14ac:dyDescent="0.2">
      <c r="A34" s="28" t="s">
        <v>113</v>
      </c>
      <c r="B34" s="44">
        <f>((5/30)/12)*0.557*0.01092</f>
        <v>8.447833333333332E-5</v>
      </c>
      <c r="C34" s="30" t="s">
        <v>197</v>
      </c>
      <c r="D34" s="73">
        <f t="shared" si="1"/>
        <v>0.56000000000000005</v>
      </c>
      <c r="E34" s="46" t="s">
        <v>156</v>
      </c>
    </row>
    <row r="35" spans="1:5" ht="16.5" customHeight="1" x14ac:dyDescent="0.2">
      <c r="A35" s="28" t="s">
        <v>114</v>
      </c>
      <c r="B35" s="56">
        <f>((7/30)/12)*0.9445</f>
        <v>1.8365277777777779E-2</v>
      </c>
      <c r="C35" s="80" t="s">
        <v>144</v>
      </c>
      <c r="D35" s="73">
        <f>TRUNC(B35*$D$8,2)</f>
        <v>123.61</v>
      </c>
      <c r="E35" s="62" t="s">
        <v>61</v>
      </c>
    </row>
    <row r="36" spans="1:5" ht="24" x14ac:dyDescent="0.2">
      <c r="A36" s="28" t="s">
        <v>115</v>
      </c>
      <c r="B36" s="56">
        <f>D36/D8</f>
        <v>3.5804805866639729E-4</v>
      </c>
      <c r="C36" s="80" t="s">
        <v>198</v>
      </c>
      <c r="D36" s="71">
        <f>TRUNC((((D8*(1+(1/3)))/12)+(D63-(D57+D58)))*(4/12)*0.01092*0.443,2)</f>
        <v>2.41</v>
      </c>
      <c r="E36" s="46" t="s">
        <v>79</v>
      </c>
    </row>
    <row r="37" spans="1:5" ht="29.25" customHeight="1" x14ac:dyDescent="0.2">
      <c r="A37" s="47" t="s">
        <v>116</v>
      </c>
      <c r="B37" s="44">
        <f>B20*SUM(B28,B29,B31,B32,B33,B34,B35)</f>
        <v>5.2271101176666668E-2</v>
      </c>
      <c r="C37" s="80" t="s">
        <v>124</v>
      </c>
      <c r="D37" s="73">
        <f>TRUNC(B37*$D$8,2)</f>
        <v>351.83</v>
      </c>
      <c r="E37" s="62" t="s">
        <v>83</v>
      </c>
    </row>
    <row r="38" spans="1:5" ht="25.5" x14ac:dyDescent="0.2">
      <c r="A38" s="47" t="s">
        <v>118</v>
      </c>
      <c r="B38" s="56">
        <f>B20*B36</f>
        <v>1.2102024382924231E-4</v>
      </c>
      <c r="C38" s="30" t="s">
        <v>120</v>
      </c>
      <c r="D38" s="73">
        <f>TRUNC(B38*$D$8,2)</f>
        <v>0.81</v>
      </c>
      <c r="E38" s="46" t="s">
        <v>165</v>
      </c>
    </row>
    <row r="39" spans="1:5" ht="16.5" customHeight="1" thickBot="1" x14ac:dyDescent="0.25">
      <c r="A39" s="4" t="s">
        <v>55</v>
      </c>
      <c r="B39" s="33">
        <f>SUM(B28:B38)</f>
        <v>0.21670764733782194</v>
      </c>
      <c r="C39" s="5" t="s">
        <v>20</v>
      </c>
      <c r="D39" s="89">
        <f>SUM(D28:D38)</f>
        <v>1458.61</v>
      </c>
      <c r="E39" s="7" t="s">
        <v>12</v>
      </c>
    </row>
    <row r="40" spans="1:5" ht="27.75" customHeight="1" x14ac:dyDescent="0.2">
      <c r="A40" s="100" t="s">
        <v>117</v>
      </c>
      <c r="B40" s="100" t="s">
        <v>109</v>
      </c>
      <c r="D40" s="179" t="s">
        <v>194</v>
      </c>
      <c r="E40" s="166"/>
    </row>
    <row r="41" spans="1:5" ht="16.5" customHeight="1" x14ac:dyDescent="0.2">
      <c r="A41" s="100" t="s">
        <v>108</v>
      </c>
      <c r="B41" s="173" t="s">
        <v>196</v>
      </c>
      <c r="C41" s="161"/>
      <c r="D41" s="151"/>
      <c r="E41" s="45"/>
    </row>
    <row r="42" spans="1:5" ht="16.5" customHeight="1" thickBot="1" x14ac:dyDescent="0.25">
      <c r="A42" s="140" t="s">
        <v>200</v>
      </c>
      <c r="B42" s="93" t="s">
        <v>110</v>
      </c>
      <c r="C42" s="34"/>
      <c r="D42" s="97"/>
      <c r="E42" s="98"/>
    </row>
    <row r="43" spans="1:5" ht="16.5" customHeight="1" x14ac:dyDescent="0.2">
      <c r="A43" s="3" t="s">
        <v>56</v>
      </c>
      <c r="B43" s="1" t="s">
        <v>23</v>
      </c>
      <c r="C43" s="1" t="s">
        <v>16</v>
      </c>
      <c r="D43" s="23" t="s">
        <v>11</v>
      </c>
      <c r="E43" s="2" t="s">
        <v>17</v>
      </c>
    </row>
    <row r="44" spans="1:5" ht="16.5" customHeight="1" x14ac:dyDescent="0.2">
      <c r="A44" s="29" t="s">
        <v>57</v>
      </c>
      <c r="B44" s="57">
        <f>(1/12)*0.0555</f>
        <v>4.6249999999999998E-3</v>
      </c>
      <c r="C44" s="81" t="s">
        <v>143</v>
      </c>
      <c r="D44" s="90">
        <f>TRUNC(B44*$D$8,2)</f>
        <v>31.13</v>
      </c>
      <c r="E44" s="79" t="s">
        <v>58</v>
      </c>
    </row>
    <row r="45" spans="1:5" ht="16.5" customHeight="1" x14ac:dyDescent="0.2">
      <c r="A45" s="29" t="s">
        <v>59</v>
      </c>
      <c r="B45" s="59">
        <f>(1/12)*0.055*0.08</f>
        <v>3.6666666666666667E-4</v>
      </c>
      <c r="C45" s="58" t="s">
        <v>137</v>
      </c>
      <c r="D45" s="90">
        <f>TRUNC(B45*$D$8,2)</f>
        <v>2.46</v>
      </c>
      <c r="E45" s="79" t="s">
        <v>60</v>
      </c>
    </row>
    <row r="46" spans="1:5" ht="16.5" customHeight="1" x14ac:dyDescent="0.2">
      <c r="A46" s="28" t="s">
        <v>102</v>
      </c>
      <c r="B46" s="60">
        <f>0.4*0.08</f>
        <v>3.2000000000000001E-2</v>
      </c>
      <c r="C46" s="30" t="s">
        <v>127</v>
      </c>
      <c r="D46" s="90">
        <f>TRUNC(B46*$D$8,2)</f>
        <v>215.39</v>
      </c>
      <c r="E46" s="79" t="s">
        <v>84</v>
      </c>
    </row>
    <row r="47" spans="1:5" ht="17.25" customHeight="1" x14ac:dyDescent="0.2">
      <c r="A47" s="28" t="s">
        <v>103</v>
      </c>
      <c r="B47" s="95">
        <f>(1/12)*0.01</f>
        <v>8.3333333333333328E-4</v>
      </c>
      <c r="C47" s="96" t="s">
        <v>121</v>
      </c>
      <c r="D47" s="90">
        <f>TRUNC(B47*$D$8,2)</f>
        <v>5.6</v>
      </c>
      <c r="E47" s="62" t="s">
        <v>87</v>
      </c>
    </row>
    <row r="48" spans="1:5" ht="17.25" customHeight="1" x14ac:dyDescent="0.2">
      <c r="A48" s="29" t="s">
        <v>104</v>
      </c>
      <c r="B48" s="60">
        <f>0.08*B32</f>
        <v>2.4766666666666664E-5</v>
      </c>
      <c r="C48" s="96" t="s">
        <v>123</v>
      </c>
      <c r="D48" s="90">
        <f>TRUNC(B48*D8,2)</f>
        <v>0.16</v>
      </c>
      <c r="E48" s="79" t="s">
        <v>158</v>
      </c>
    </row>
    <row r="49" spans="1:5" ht="17.25" customHeight="1" thickBot="1" x14ac:dyDescent="0.25">
      <c r="A49" s="4" t="s">
        <v>62</v>
      </c>
      <c r="B49" s="33">
        <f>SUM(B44:B48)</f>
        <v>3.7849766666666666E-2</v>
      </c>
      <c r="C49" s="5" t="s">
        <v>20</v>
      </c>
      <c r="D49" s="74">
        <f>SUM(D44:D48)</f>
        <v>254.73999999999998</v>
      </c>
      <c r="E49" s="7" t="s">
        <v>12</v>
      </c>
    </row>
    <row r="50" spans="1:5" ht="13.5" x14ac:dyDescent="0.2">
      <c r="A50" s="91" t="s">
        <v>141</v>
      </c>
      <c r="B50" s="178" t="s">
        <v>140</v>
      </c>
      <c r="C50" s="158"/>
      <c r="D50" s="158"/>
      <c r="E50" s="159"/>
    </row>
    <row r="51" spans="1:5" ht="14.25" thickBot="1" x14ac:dyDescent="0.25">
      <c r="A51" s="77" t="s">
        <v>129</v>
      </c>
      <c r="B51" s="173" t="s">
        <v>147</v>
      </c>
      <c r="C51" s="160"/>
      <c r="D51" s="160"/>
      <c r="E51" s="174"/>
    </row>
    <row r="52" spans="1:5" ht="16.5" customHeight="1" thickBot="1" x14ac:dyDescent="0.25">
      <c r="A52" s="8" t="s">
        <v>63</v>
      </c>
      <c r="B52" s="87">
        <f>SUM(B49,B39,B25,B20)</f>
        <v>0.70405741400448862</v>
      </c>
      <c r="C52" s="10" t="s">
        <v>64</v>
      </c>
      <c r="D52" s="88">
        <f>SUM(D20,D25,D39,D49)</f>
        <v>4738.8599999999997</v>
      </c>
      <c r="E52" s="11" t="s">
        <v>12</v>
      </c>
    </row>
    <row r="53" spans="1:5" ht="13.5" thickBot="1" x14ac:dyDescent="0.25">
      <c r="A53" s="78"/>
      <c r="B53" s="78"/>
      <c r="C53" s="78"/>
      <c r="D53" s="61"/>
      <c r="E53" s="78"/>
    </row>
    <row r="54" spans="1:5" ht="16.5" customHeight="1" thickBot="1" x14ac:dyDescent="0.25">
      <c r="A54" s="155" t="s">
        <v>153</v>
      </c>
      <c r="B54" s="156"/>
      <c r="C54" s="156"/>
      <c r="D54" s="156"/>
      <c r="E54" s="157"/>
    </row>
    <row r="55" spans="1:5" ht="17.25" customHeight="1" x14ac:dyDescent="0.2">
      <c r="A55" s="3" t="s">
        <v>152</v>
      </c>
      <c r="B55" s="84" t="s">
        <v>11</v>
      </c>
      <c r="C55" s="1" t="s">
        <v>16</v>
      </c>
      <c r="D55" s="23" t="s">
        <v>11</v>
      </c>
      <c r="E55" s="2" t="s">
        <v>17</v>
      </c>
    </row>
    <row r="56" spans="1:5" ht="25.5" x14ac:dyDescent="0.2">
      <c r="A56" s="28" t="s">
        <v>168</v>
      </c>
      <c r="B56" s="85">
        <v>34.18</v>
      </c>
      <c r="C56" s="26" t="str">
        <f>B56 &amp; " * 22"</f>
        <v>34,18 * 22</v>
      </c>
      <c r="D56" s="73">
        <f>TRUNC(B56*22,2)</f>
        <v>751.96</v>
      </c>
      <c r="E56" s="27" t="s">
        <v>185</v>
      </c>
    </row>
    <row r="57" spans="1:5" ht="25.5" x14ac:dyDescent="0.2">
      <c r="A57" s="28" t="s">
        <v>85</v>
      </c>
      <c r="B57" s="85">
        <v>5.25</v>
      </c>
      <c r="C57" s="26" t="str">
        <f>B57&amp; " * 4 * 22"</f>
        <v>5,25 * 4 * 22</v>
      </c>
      <c r="D57" s="73">
        <f>TRUNC(B57*22*4,2)</f>
        <v>462</v>
      </c>
      <c r="E57" s="27" t="s">
        <v>186</v>
      </c>
    </row>
    <row r="58" spans="1:5" ht="17.25" customHeight="1" x14ac:dyDescent="0.2">
      <c r="A58" s="28" t="s">
        <v>86</v>
      </c>
      <c r="B58" s="85">
        <f>D58</f>
        <v>-403.85</v>
      </c>
      <c r="C58" s="26" t="s">
        <v>65</v>
      </c>
      <c r="D58" s="73">
        <f>IF(D57&gt;=TRUNC(0.06*D7,2),TRUNC(-0.06*D7,2),-D57)</f>
        <v>-403.85</v>
      </c>
      <c r="E58" s="62" t="s">
        <v>90</v>
      </c>
    </row>
    <row r="59" spans="1:5" ht="17.25" customHeight="1" x14ac:dyDescent="0.2">
      <c r="A59" s="28" t="s">
        <v>75</v>
      </c>
      <c r="B59" s="85">
        <f>'Quadro Resumo'!B26</f>
        <v>0</v>
      </c>
      <c r="C59" s="26" t="str">
        <f>B59 &amp; " * 3"</f>
        <v>0 * 3</v>
      </c>
      <c r="D59" s="73">
        <f>ROUND(B59*3,2)</f>
        <v>0</v>
      </c>
      <c r="E59" s="132" t="s">
        <v>166</v>
      </c>
    </row>
    <row r="60" spans="1:5" ht="17.25" customHeight="1" x14ac:dyDescent="0.2">
      <c r="A60" s="68" t="s">
        <v>126</v>
      </c>
      <c r="B60" s="136">
        <f>'Quadro Resumo'!B27</f>
        <v>0</v>
      </c>
      <c r="C60" s="58" t="str">
        <f>B60&amp;" * 3/12"</f>
        <v>0 * 3/12</v>
      </c>
      <c r="D60" s="75">
        <f>ROUND(B60*3/12,2)</f>
        <v>0</v>
      </c>
      <c r="E60" s="137" t="s">
        <v>166</v>
      </c>
    </row>
    <row r="61" spans="1:5" ht="33.75" customHeight="1" x14ac:dyDescent="0.2">
      <c r="A61" s="138" t="s">
        <v>178</v>
      </c>
      <c r="B61" s="133">
        <f>ROUNDUP('CUSTOS DE VALOR SUBJETIVO'!B9/12,2)</f>
        <v>0</v>
      </c>
      <c r="C61" s="30" t="s">
        <v>135</v>
      </c>
      <c r="D61" s="73">
        <f>B61</f>
        <v>0</v>
      </c>
      <c r="E61" s="132" t="s">
        <v>179</v>
      </c>
    </row>
    <row r="62" spans="1:5" ht="31.5" customHeight="1" x14ac:dyDescent="0.2">
      <c r="A62" s="29" t="s">
        <v>130</v>
      </c>
      <c r="B62" s="85">
        <f>ROUNDUP('CUSTOS DE VALOR SUBJETIVO'!B17/12,2)</f>
        <v>0</v>
      </c>
      <c r="C62" s="58" t="s">
        <v>135</v>
      </c>
      <c r="D62" s="75">
        <f>B62</f>
        <v>0</v>
      </c>
      <c r="E62" s="82" t="s">
        <v>94</v>
      </c>
    </row>
    <row r="63" spans="1:5" ht="17.25" customHeight="1" thickBot="1" x14ac:dyDescent="0.25">
      <c r="A63" s="4" t="s">
        <v>96</v>
      </c>
      <c r="B63" s="86"/>
      <c r="C63" s="5" t="s">
        <v>20</v>
      </c>
      <c r="D63" s="74">
        <f>SUM(D56:D62)</f>
        <v>810.11</v>
      </c>
      <c r="E63" s="7" t="s">
        <v>12</v>
      </c>
    </row>
    <row r="64" spans="1:5" x14ac:dyDescent="0.2">
      <c r="A64" s="175" t="s">
        <v>167</v>
      </c>
      <c r="B64" s="176"/>
      <c r="C64" s="176"/>
      <c r="D64" s="176"/>
      <c r="E64" s="176"/>
    </row>
    <row r="65" spans="1:5" ht="13.5" thickBot="1" x14ac:dyDescent="0.25">
      <c r="A65" s="177"/>
      <c r="B65" s="177"/>
      <c r="C65" s="177"/>
      <c r="D65" s="177"/>
      <c r="E65" s="177"/>
    </row>
    <row r="66" spans="1:5" ht="30.75" customHeight="1" thickBot="1" x14ac:dyDescent="0.25">
      <c r="A66" s="12" t="s">
        <v>66</v>
      </c>
      <c r="B66" s="9" t="s">
        <v>12</v>
      </c>
      <c r="C66" s="9" t="s">
        <v>67</v>
      </c>
      <c r="D66" s="32">
        <f>SUM(D8,D52,D63)</f>
        <v>12279.91</v>
      </c>
      <c r="E66" s="11" t="s">
        <v>12</v>
      </c>
    </row>
    <row r="67" spans="1:5" ht="13.5" thickBot="1" x14ac:dyDescent="0.25">
      <c r="A67" s="63"/>
      <c r="B67" s="64"/>
      <c r="C67" s="64"/>
      <c r="D67" s="65"/>
      <c r="E67" s="66"/>
    </row>
    <row r="68" spans="1:5" ht="17.25" customHeight="1" x14ac:dyDescent="0.2">
      <c r="A68" s="3" t="s">
        <v>119</v>
      </c>
      <c r="B68" s="1" t="s">
        <v>23</v>
      </c>
      <c r="C68" s="1" t="s">
        <v>16</v>
      </c>
      <c r="D68" s="23" t="s">
        <v>11</v>
      </c>
      <c r="E68" s="2" t="s">
        <v>17</v>
      </c>
    </row>
    <row r="69" spans="1:5" ht="17.25" customHeight="1" x14ac:dyDescent="0.2">
      <c r="A69" s="28" t="s">
        <v>98</v>
      </c>
      <c r="B69" s="69">
        <f>'Quadro Resumo'!B21</f>
        <v>0</v>
      </c>
      <c r="C69" s="134" t="s">
        <v>12</v>
      </c>
      <c r="D69" s="83">
        <f>TRUNC(B69*D66,2)</f>
        <v>0</v>
      </c>
      <c r="E69" s="40" t="s">
        <v>12</v>
      </c>
    </row>
    <row r="70" spans="1:5" ht="30.75" customHeight="1" x14ac:dyDescent="0.2">
      <c r="A70" s="28" t="s">
        <v>6</v>
      </c>
      <c r="B70" s="69">
        <f>'Quadro Resumo'!B22</f>
        <v>0</v>
      </c>
      <c r="C70" s="26" t="s">
        <v>135</v>
      </c>
      <c r="D70" s="83">
        <f>TRUNC(B70*D66,2)</f>
        <v>0</v>
      </c>
      <c r="E70" s="27" t="s">
        <v>136</v>
      </c>
    </row>
    <row r="71" spans="1:5" ht="16.5" customHeight="1" thickBot="1" x14ac:dyDescent="0.25">
      <c r="A71" s="4" t="s">
        <v>68</v>
      </c>
      <c r="B71" s="33">
        <f>SUM(B69:B70)</f>
        <v>0</v>
      </c>
      <c r="C71" s="5" t="s">
        <v>20</v>
      </c>
      <c r="D71" s="72">
        <f>SUM(D69:D70)</f>
        <v>0</v>
      </c>
      <c r="E71" s="7" t="s">
        <v>12</v>
      </c>
    </row>
    <row r="72" spans="1:5" ht="24" customHeight="1" thickBot="1" x14ac:dyDescent="0.25">
      <c r="A72" s="99"/>
      <c r="B72" s="78"/>
      <c r="C72" s="78"/>
      <c r="D72" s="39"/>
      <c r="E72" s="78"/>
    </row>
    <row r="73" spans="1:5" ht="16.5" customHeight="1" x14ac:dyDescent="0.2">
      <c r="A73" s="13" t="s">
        <v>69</v>
      </c>
      <c r="B73" s="1" t="s">
        <v>23</v>
      </c>
      <c r="C73" s="1" t="s">
        <v>16</v>
      </c>
      <c r="D73" s="23" t="s">
        <v>11</v>
      </c>
      <c r="E73" s="2" t="s">
        <v>17</v>
      </c>
    </row>
    <row r="74" spans="1:5" ht="16.5" customHeight="1" x14ac:dyDescent="0.2">
      <c r="A74" s="28" t="s">
        <v>7</v>
      </c>
      <c r="B74" s="69">
        <f>'Quadro Resumo'!B34</f>
        <v>0</v>
      </c>
      <c r="C74" s="171" t="s">
        <v>97</v>
      </c>
      <c r="D74" s="73">
        <f>TRUNC((($D$66+$D$71)/(1-(($B$74+$B$75+$B$76))))*(B74),2)</f>
        <v>0</v>
      </c>
      <c r="E74" s="62" t="s">
        <v>93</v>
      </c>
    </row>
    <row r="75" spans="1:5" ht="16.5" customHeight="1" x14ac:dyDescent="0.2">
      <c r="A75" s="28" t="s">
        <v>8</v>
      </c>
      <c r="B75" s="69">
        <f>'Quadro Resumo'!B35</f>
        <v>0</v>
      </c>
      <c r="C75" s="172"/>
      <c r="D75" s="73">
        <f>TRUNC((($D$66+$D$71)/(1-(($B$74+$B$75+$B$76))))*(B75),2)</f>
        <v>0</v>
      </c>
      <c r="E75" s="27" t="s">
        <v>92</v>
      </c>
    </row>
    <row r="76" spans="1:5" ht="16.5" customHeight="1" x14ac:dyDescent="0.2">
      <c r="A76" s="28" t="s">
        <v>9</v>
      </c>
      <c r="B76" s="69">
        <f>'Quadro Resumo'!B36</f>
        <v>0</v>
      </c>
      <c r="C76" s="172"/>
      <c r="D76" s="73">
        <f>TRUNC((($D$66+$D$71)/(1-(($B$74+$B$75+$B$76))))*(B76),2)</f>
        <v>0</v>
      </c>
      <c r="E76" s="62" t="s">
        <v>91</v>
      </c>
    </row>
    <row r="77" spans="1:5" ht="16.5" customHeight="1" thickBot="1" x14ac:dyDescent="0.25">
      <c r="A77" s="4" t="s">
        <v>70</v>
      </c>
      <c r="B77" s="33">
        <f>SUM(B74:B76)</f>
        <v>0</v>
      </c>
      <c r="C77" s="5" t="s">
        <v>20</v>
      </c>
      <c r="D77" s="74">
        <f>SUM(D74:D76)</f>
        <v>0</v>
      </c>
      <c r="E77" s="7" t="s">
        <v>12</v>
      </c>
    </row>
    <row r="78" spans="1:5" ht="13.5" thickBot="1" x14ac:dyDescent="0.25">
      <c r="A78" s="68"/>
      <c r="B78" s="78"/>
      <c r="C78" s="78"/>
      <c r="D78" s="39"/>
      <c r="E78" s="78"/>
    </row>
    <row r="79" spans="1:5" ht="16.5" customHeight="1" thickBot="1" x14ac:dyDescent="0.25">
      <c r="A79" s="14" t="s">
        <v>71</v>
      </c>
      <c r="B79" s="15" t="s">
        <v>12</v>
      </c>
      <c r="C79" s="1" t="s">
        <v>16</v>
      </c>
      <c r="D79" s="24" t="s">
        <v>72</v>
      </c>
      <c r="E79" s="2" t="s">
        <v>73</v>
      </c>
    </row>
    <row r="80" spans="1:5" ht="16.5" customHeight="1" thickBot="1" x14ac:dyDescent="0.25">
      <c r="A80" s="16"/>
      <c r="B80" s="17" t="s">
        <v>12</v>
      </c>
      <c r="C80" s="17" t="s">
        <v>74</v>
      </c>
      <c r="D80" s="94">
        <f>TRUNC(SUM(D66,D71,D77),2)</f>
        <v>12279.91</v>
      </c>
      <c r="E80" s="31">
        <f>D80*12</f>
        <v>147358.91999999998</v>
      </c>
    </row>
    <row r="81" spans="1:5" ht="13.5" thickBot="1" x14ac:dyDescent="0.25">
      <c r="A81" s="34"/>
      <c r="B81" s="34"/>
      <c r="C81" s="34"/>
      <c r="D81" s="67"/>
      <c r="E81" s="34"/>
    </row>
    <row r="82" spans="1:5" x14ac:dyDescent="0.2">
      <c r="A82" s="14" t="s">
        <v>171</v>
      </c>
      <c r="B82" s="135" t="s">
        <v>12</v>
      </c>
      <c r="C82" s="141" t="s">
        <v>16</v>
      </c>
      <c r="D82" s="24" t="s">
        <v>11</v>
      </c>
      <c r="E82" s="142" t="s">
        <v>173</v>
      </c>
    </row>
    <row r="83" spans="1:5" ht="20.25" customHeight="1" x14ac:dyDescent="0.2">
      <c r="A83" s="28" t="s">
        <v>172</v>
      </c>
      <c r="B83" s="73">
        <f>E80</f>
        <v>147358.91999999998</v>
      </c>
      <c r="C83" s="143" t="s">
        <v>202</v>
      </c>
      <c r="D83" s="144">
        <f>B83*5</f>
        <v>736794.59999999986</v>
      </c>
      <c r="E83" s="167">
        <f>D83+D84</f>
        <v>736794.59999999986</v>
      </c>
    </row>
    <row r="84" spans="1:5" ht="27.75" customHeight="1" thickBot="1" x14ac:dyDescent="0.25">
      <c r="A84" s="145" t="s">
        <v>203</v>
      </c>
      <c r="B84" s="70">
        <f>'Quadro Resumo'!C17</f>
        <v>0</v>
      </c>
      <c r="C84" s="37" t="s">
        <v>204</v>
      </c>
      <c r="D84" s="146">
        <f>'Quadro Resumo'!C17</f>
        <v>0</v>
      </c>
      <c r="E84" s="168"/>
    </row>
  </sheetData>
  <sheetProtection algorithmName="SHA-512" hashValue="W+Bwmih8gF5m+bzogE7CO1gKUrxXpYJcxeiEDr7yhEfujM4kGK1NAsTiGWzZvX//COZj+um+3rllT+3IYT9hbg==" saltValue="X8m2fu7CtivBMm3rhsXYKQ==" spinCount="100000" sheet="1" objects="1" scenarios="1"/>
  <mergeCells count="11">
    <mergeCell ref="E83:E84"/>
    <mergeCell ref="B51:E51"/>
    <mergeCell ref="A54:E54"/>
    <mergeCell ref="A64:E65"/>
    <mergeCell ref="C74:C76"/>
    <mergeCell ref="B50:E50"/>
    <mergeCell ref="A1:E1"/>
    <mergeCell ref="A3:C3"/>
    <mergeCell ref="A10:E10"/>
    <mergeCell ref="D40:E40"/>
    <mergeCell ref="B41:D41"/>
  </mergeCells>
  <conditionalFormatting sqref="B62">
    <cfRule type="expression" dxfId="3" priority="1">
      <formula>ISBLANK($B$62)</formula>
    </cfRule>
  </conditionalFormatting>
  <pageMargins left="0.51181102362204722" right="0.51181102362204722" top="0.78740157480314965" bottom="0.78740157480314965" header="0.31496062992125984" footer="0.31496062992125984"/>
  <pageSetup paperSize="9" scale="42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8BDB-0249-4465-BD1A-5146CA7EB41D}">
  <sheetPr>
    <tabColor theme="5" tint="-0.249977111117893"/>
    <pageSetUpPr fitToPage="1"/>
  </sheetPr>
  <dimension ref="A1:E84"/>
  <sheetViews>
    <sheetView showGridLines="0" zoomScale="90" zoomScaleNormal="90" workbookViewId="0">
      <selection activeCell="D57" sqref="D57"/>
    </sheetView>
  </sheetViews>
  <sheetFormatPr defaultColWidth="9.140625" defaultRowHeight="12.75" x14ac:dyDescent="0.2"/>
  <cols>
    <col min="1" max="1" width="70.140625" style="21" customWidth="1"/>
    <col min="2" max="2" width="15.140625" style="21" customWidth="1"/>
    <col min="3" max="3" width="64.5703125" style="21" customWidth="1"/>
    <col min="4" max="4" width="13.5703125" style="25" customWidth="1"/>
    <col min="5" max="5" width="57.85546875" style="21" customWidth="1"/>
    <col min="6" max="6" width="1.7109375" style="21" customWidth="1"/>
    <col min="7" max="16384" width="9.140625" style="21"/>
  </cols>
  <sheetData>
    <row r="1" spans="1:5" ht="20.25" thickBot="1" x14ac:dyDescent="0.25">
      <c r="A1" s="152" t="str">
        <f>"PLANILHA DE COMPOSIÇÃO DE CUSTOS E FORMAÇÃO DE PREÇOS - " &amp; 'Quadro Resumo'!A11</f>
        <v>PLANILHA DE COMPOSIÇÃO DE CUSTOS E FORMAÇÃO DE PREÇOS - Assistente de compras e contratos II</v>
      </c>
      <c r="B1" s="153"/>
      <c r="C1" s="153"/>
      <c r="D1" s="153"/>
      <c r="E1" s="154"/>
    </row>
    <row r="2" spans="1:5" ht="20.25" thickBot="1" x14ac:dyDescent="0.25">
      <c r="A2" s="18"/>
      <c r="B2" s="19"/>
      <c r="C2" s="19"/>
      <c r="D2" s="22"/>
      <c r="E2" s="20"/>
    </row>
    <row r="3" spans="1:5" ht="17.25" customHeight="1" x14ac:dyDescent="0.2">
      <c r="A3" s="162" t="s">
        <v>155</v>
      </c>
      <c r="B3" s="163"/>
      <c r="C3" s="164"/>
      <c r="D3" s="1" t="s">
        <v>11</v>
      </c>
      <c r="E3" s="1" t="s">
        <v>12</v>
      </c>
    </row>
    <row r="4" spans="1:5" ht="17.25" customHeight="1" thickBot="1" x14ac:dyDescent="0.25">
      <c r="A4" s="35" t="str">
        <f>'Quadro Resumo'!A11</f>
        <v>Assistente de compras e contratos II</v>
      </c>
      <c r="B4" s="37"/>
      <c r="C4" s="37" t="s">
        <v>13</v>
      </c>
      <c r="D4" s="70">
        <f>'Quadro Resumo'!B11</f>
        <v>6730.94</v>
      </c>
      <c r="E4" s="38" t="s">
        <v>12</v>
      </c>
    </row>
    <row r="5" spans="1:5" ht="13.5" thickBot="1" x14ac:dyDescent="0.25">
      <c r="A5" s="68"/>
      <c r="B5" s="78"/>
      <c r="C5" s="78"/>
      <c r="D5" s="39"/>
      <c r="E5" s="78"/>
    </row>
    <row r="6" spans="1:5" ht="17.25" customHeight="1" x14ac:dyDescent="0.2">
      <c r="A6" s="3" t="s">
        <v>14</v>
      </c>
      <c r="B6" s="1" t="s">
        <v>15</v>
      </c>
      <c r="C6" s="1" t="s">
        <v>16</v>
      </c>
      <c r="D6" s="23" t="s">
        <v>11</v>
      </c>
      <c r="E6" s="2" t="s">
        <v>17</v>
      </c>
    </row>
    <row r="7" spans="1:5" ht="17.25" customHeight="1" x14ac:dyDescent="0.2">
      <c r="A7" s="28" t="s">
        <v>18</v>
      </c>
      <c r="B7" s="58" t="s">
        <v>12</v>
      </c>
      <c r="C7" s="26" t="s">
        <v>12</v>
      </c>
      <c r="D7" s="71">
        <f>TRUNC(D4,2)</f>
        <v>6730.94</v>
      </c>
      <c r="E7" s="40"/>
    </row>
    <row r="8" spans="1:5" ht="16.5" customHeight="1" thickBot="1" x14ac:dyDescent="0.25">
      <c r="A8" s="4" t="s">
        <v>19</v>
      </c>
      <c r="B8" s="5" t="s">
        <v>12</v>
      </c>
      <c r="C8" s="6" t="s">
        <v>20</v>
      </c>
      <c r="D8" s="72">
        <f>SUM(D7:D7)</f>
        <v>6730.94</v>
      </c>
      <c r="E8" s="7" t="s">
        <v>12</v>
      </c>
    </row>
    <row r="9" spans="1:5" ht="13.5" customHeight="1" thickBot="1" x14ac:dyDescent="0.25">
      <c r="A9" s="41"/>
      <c r="B9" s="42"/>
      <c r="C9" s="43"/>
      <c r="D9" s="39"/>
      <c r="E9" s="78"/>
    </row>
    <row r="10" spans="1:5" ht="16.5" customHeight="1" thickBot="1" x14ac:dyDescent="0.25">
      <c r="A10" s="155" t="s">
        <v>21</v>
      </c>
      <c r="B10" s="156"/>
      <c r="C10" s="156"/>
      <c r="D10" s="156"/>
      <c r="E10" s="157"/>
    </row>
    <row r="11" spans="1:5" ht="16.5" customHeight="1" x14ac:dyDescent="0.2">
      <c r="A11" s="3" t="s">
        <v>22</v>
      </c>
      <c r="B11" s="1" t="s">
        <v>23</v>
      </c>
      <c r="C11" s="1" t="s">
        <v>16</v>
      </c>
      <c r="D11" s="23" t="s">
        <v>11</v>
      </c>
      <c r="E11" s="2" t="s">
        <v>17</v>
      </c>
    </row>
    <row r="12" spans="1:5" ht="16.5" customHeight="1" x14ac:dyDescent="0.2">
      <c r="A12" s="28" t="s">
        <v>24</v>
      </c>
      <c r="B12" s="44">
        <v>0.2</v>
      </c>
      <c r="C12" s="26" t="s">
        <v>25</v>
      </c>
      <c r="D12" s="73">
        <f>TRUNC(B12*$D$8,2)</f>
        <v>1346.18</v>
      </c>
      <c r="E12" s="45" t="s">
        <v>26</v>
      </c>
    </row>
    <row r="13" spans="1:5" ht="16.5" customHeight="1" x14ac:dyDescent="0.2">
      <c r="A13" s="28" t="s">
        <v>27</v>
      </c>
      <c r="B13" s="44">
        <v>0.08</v>
      </c>
      <c r="C13" s="26" t="s">
        <v>28</v>
      </c>
      <c r="D13" s="73">
        <f t="shared" ref="D13:D19" si="0">TRUNC(B13*$D$8,2)</f>
        <v>538.47</v>
      </c>
      <c r="E13" s="46" t="s">
        <v>164</v>
      </c>
    </row>
    <row r="14" spans="1:5" ht="17.25" customHeight="1" x14ac:dyDescent="0.2">
      <c r="A14" s="28" t="s">
        <v>29</v>
      </c>
      <c r="B14" s="44">
        <v>1.4999999999999999E-2</v>
      </c>
      <c r="C14" s="26" t="s">
        <v>30</v>
      </c>
      <c r="D14" s="73">
        <f t="shared" si="0"/>
        <v>100.96</v>
      </c>
      <c r="E14" s="46" t="s">
        <v>31</v>
      </c>
    </row>
    <row r="15" spans="1:5" ht="17.25" customHeight="1" x14ac:dyDescent="0.2">
      <c r="A15" s="28" t="s">
        <v>32</v>
      </c>
      <c r="B15" s="44">
        <v>0.01</v>
      </c>
      <c r="C15" s="26" t="s">
        <v>33</v>
      </c>
      <c r="D15" s="73">
        <f t="shared" si="0"/>
        <v>67.3</v>
      </c>
      <c r="E15" s="46" t="s">
        <v>34</v>
      </c>
    </row>
    <row r="16" spans="1:5" ht="17.25" customHeight="1" x14ac:dyDescent="0.2">
      <c r="A16" s="28" t="s">
        <v>35</v>
      </c>
      <c r="B16" s="44">
        <v>2E-3</v>
      </c>
      <c r="C16" s="26" t="s">
        <v>36</v>
      </c>
      <c r="D16" s="73">
        <f t="shared" si="0"/>
        <v>13.46</v>
      </c>
      <c r="E16" s="46" t="s">
        <v>37</v>
      </c>
    </row>
    <row r="17" spans="1:5" ht="17.25" customHeight="1" x14ac:dyDescent="0.2">
      <c r="A17" s="28" t="s">
        <v>38</v>
      </c>
      <c r="B17" s="44">
        <v>6.0000000000000001E-3</v>
      </c>
      <c r="C17" s="26" t="s">
        <v>39</v>
      </c>
      <c r="D17" s="73">
        <f t="shared" si="0"/>
        <v>40.380000000000003</v>
      </c>
      <c r="E17" s="46" t="s">
        <v>40</v>
      </c>
    </row>
    <row r="18" spans="1:5" ht="17.25" customHeight="1" x14ac:dyDescent="0.2">
      <c r="A18" s="28" t="s">
        <v>41</v>
      </c>
      <c r="B18" s="44">
        <v>2.5000000000000001E-2</v>
      </c>
      <c r="C18" s="26" t="s">
        <v>42</v>
      </c>
      <c r="D18" s="73">
        <f t="shared" si="0"/>
        <v>168.27</v>
      </c>
      <c r="E18" s="46" t="s">
        <v>43</v>
      </c>
    </row>
    <row r="19" spans="1:5" ht="17.25" customHeight="1" x14ac:dyDescent="0.2">
      <c r="A19" s="47" t="s">
        <v>44</v>
      </c>
      <c r="B19" s="69">
        <f>'Quadro Resumo'!B31</f>
        <v>0</v>
      </c>
      <c r="C19" s="26" t="s">
        <v>45</v>
      </c>
      <c r="D19" s="73">
        <f t="shared" si="0"/>
        <v>0</v>
      </c>
      <c r="E19" s="46" t="s">
        <v>162</v>
      </c>
    </row>
    <row r="20" spans="1:5" ht="17.25" customHeight="1" thickBot="1" x14ac:dyDescent="0.25">
      <c r="A20" s="4" t="s">
        <v>46</v>
      </c>
      <c r="B20" s="33">
        <f>SUM(B12:B19)</f>
        <v>0.33800000000000008</v>
      </c>
      <c r="C20" s="5" t="s">
        <v>20</v>
      </c>
      <c r="D20" s="74">
        <f>SUM(D12:D19)</f>
        <v>2275.0200000000004</v>
      </c>
      <c r="E20" s="7" t="s">
        <v>12</v>
      </c>
    </row>
    <row r="21" spans="1:5" ht="13.5" thickBot="1" x14ac:dyDescent="0.25">
      <c r="A21" s="68"/>
      <c r="B21" s="78"/>
      <c r="C21" s="78"/>
      <c r="D21" s="39"/>
      <c r="E21" s="48"/>
    </row>
    <row r="22" spans="1:5" ht="15.75" customHeight="1" x14ac:dyDescent="0.2">
      <c r="A22" s="3" t="s">
        <v>82</v>
      </c>
      <c r="B22" s="1" t="s">
        <v>23</v>
      </c>
      <c r="C22" s="1" t="s">
        <v>16</v>
      </c>
      <c r="D22" s="23" t="s">
        <v>11</v>
      </c>
      <c r="E22" s="2" t="s">
        <v>17</v>
      </c>
    </row>
    <row r="23" spans="1:5" ht="15.75" customHeight="1" x14ac:dyDescent="0.2">
      <c r="A23" s="28" t="s">
        <v>47</v>
      </c>
      <c r="B23" s="44">
        <f>(1/12)</f>
        <v>8.3333333333333329E-2</v>
      </c>
      <c r="C23" s="26" t="s">
        <v>88</v>
      </c>
      <c r="D23" s="73">
        <f>TRUNC(B23*$D$8,2)</f>
        <v>560.91</v>
      </c>
      <c r="E23" s="46" t="s">
        <v>48</v>
      </c>
    </row>
    <row r="24" spans="1:5" ht="15.75" customHeight="1" x14ac:dyDescent="0.2">
      <c r="A24" s="29" t="s">
        <v>80</v>
      </c>
      <c r="B24" s="49">
        <f>B20*B23</f>
        <v>2.8166666666666673E-2</v>
      </c>
      <c r="C24" s="58" t="s">
        <v>89</v>
      </c>
      <c r="D24" s="73">
        <f>TRUNC(B24*$D$8,2)</f>
        <v>189.58</v>
      </c>
      <c r="E24" s="62" t="s">
        <v>163</v>
      </c>
    </row>
    <row r="25" spans="1:5" ht="16.5" customHeight="1" thickBot="1" x14ac:dyDescent="0.25">
      <c r="A25" s="4" t="s">
        <v>49</v>
      </c>
      <c r="B25" s="33">
        <f>SUM(B23:B24)</f>
        <v>0.1115</v>
      </c>
      <c r="C25" s="5" t="s">
        <v>20</v>
      </c>
      <c r="D25" s="74">
        <f>SUM(D23:D24)</f>
        <v>750.49</v>
      </c>
      <c r="E25" s="7" t="s">
        <v>12</v>
      </c>
    </row>
    <row r="26" spans="1:5" ht="13.5" thickBot="1" x14ac:dyDescent="0.25">
      <c r="A26" s="50"/>
      <c r="B26" s="51"/>
      <c r="C26" s="51"/>
      <c r="D26" s="52"/>
      <c r="E26" s="53"/>
    </row>
    <row r="27" spans="1:5" ht="17.25" customHeight="1" x14ac:dyDescent="0.2">
      <c r="A27" s="3" t="s">
        <v>50</v>
      </c>
      <c r="B27" s="1" t="s">
        <v>23</v>
      </c>
      <c r="C27" s="1" t="s">
        <v>16</v>
      </c>
      <c r="D27" s="23" t="s">
        <v>11</v>
      </c>
      <c r="E27" s="2" t="s">
        <v>17</v>
      </c>
    </row>
    <row r="28" spans="1:5" ht="16.5" customHeight="1" x14ac:dyDescent="0.2">
      <c r="A28" s="28" t="s">
        <v>51</v>
      </c>
      <c r="B28" s="44">
        <f>1/12</f>
        <v>8.3333333333333329E-2</v>
      </c>
      <c r="C28" s="26" t="s">
        <v>88</v>
      </c>
      <c r="D28" s="73">
        <f t="shared" ref="D28:D34" si="1">TRUNC(B28*$D$8,2)</f>
        <v>560.91</v>
      </c>
      <c r="E28" s="46" t="s">
        <v>79</v>
      </c>
    </row>
    <row r="29" spans="1:5" ht="16.5" customHeight="1" x14ac:dyDescent="0.2">
      <c r="A29" s="28" t="s">
        <v>81</v>
      </c>
      <c r="B29" s="54">
        <f>(1/3)/12</f>
        <v>2.7777777777777776E-2</v>
      </c>
      <c r="C29" s="26" t="s">
        <v>95</v>
      </c>
      <c r="D29" s="73">
        <f t="shared" si="1"/>
        <v>186.97</v>
      </c>
      <c r="E29" s="46" t="s">
        <v>79</v>
      </c>
    </row>
    <row r="30" spans="1:5" ht="27.75" customHeight="1" x14ac:dyDescent="0.2">
      <c r="A30" s="28" t="s">
        <v>106</v>
      </c>
      <c r="B30" s="69">
        <f>D30/D8</f>
        <v>9.3092495253263297E-3</v>
      </c>
      <c r="C30" s="80" t="s">
        <v>150</v>
      </c>
      <c r="D30" s="71">
        <f>TRUNC((D63-(D57+D58))/12,2)</f>
        <v>62.66</v>
      </c>
      <c r="E30" s="46" t="s">
        <v>105</v>
      </c>
    </row>
    <row r="31" spans="1:5" ht="16.5" customHeight="1" x14ac:dyDescent="0.2">
      <c r="A31" s="28" t="s">
        <v>107</v>
      </c>
      <c r="B31" s="44">
        <f>(5.96/30)/12</f>
        <v>1.6555555555555556E-2</v>
      </c>
      <c r="C31" s="26" t="s">
        <v>99</v>
      </c>
      <c r="D31" s="73">
        <f t="shared" si="1"/>
        <v>111.43</v>
      </c>
      <c r="E31" s="46" t="s">
        <v>157</v>
      </c>
    </row>
    <row r="32" spans="1:5" ht="16.5" customHeight="1" x14ac:dyDescent="0.2">
      <c r="A32" s="28" t="s">
        <v>111</v>
      </c>
      <c r="B32" s="44">
        <f>(((15/30)/12)*0.00743)</f>
        <v>3.0958333333333331E-4</v>
      </c>
      <c r="C32" s="55" t="s">
        <v>201</v>
      </c>
      <c r="D32" s="73">
        <f t="shared" si="1"/>
        <v>2.08</v>
      </c>
      <c r="E32" s="46" t="s">
        <v>52</v>
      </c>
    </row>
    <row r="33" spans="1:5" ht="16.5" customHeight="1" x14ac:dyDescent="0.2">
      <c r="A33" s="28" t="s">
        <v>112</v>
      </c>
      <c r="B33" s="44">
        <f>(2.96/30)/12</f>
        <v>8.2222222222222228E-3</v>
      </c>
      <c r="C33" s="36" t="s">
        <v>101</v>
      </c>
      <c r="D33" s="73">
        <f t="shared" si="1"/>
        <v>55.34</v>
      </c>
      <c r="E33" s="46" t="s">
        <v>53</v>
      </c>
    </row>
    <row r="34" spans="1:5" ht="16.5" customHeight="1" x14ac:dyDescent="0.2">
      <c r="A34" s="28" t="s">
        <v>113</v>
      </c>
      <c r="B34" s="44">
        <f>((5/30)/12)*0.557*0.01092</f>
        <v>8.447833333333332E-5</v>
      </c>
      <c r="C34" s="30" t="s">
        <v>197</v>
      </c>
      <c r="D34" s="73">
        <f t="shared" si="1"/>
        <v>0.56000000000000005</v>
      </c>
      <c r="E34" s="46" t="s">
        <v>156</v>
      </c>
    </row>
    <row r="35" spans="1:5" ht="16.5" customHeight="1" x14ac:dyDescent="0.2">
      <c r="A35" s="28" t="s">
        <v>114</v>
      </c>
      <c r="B35" s="56">
        <f>((7/30)/12)*0.9445</f>
        <v>1.8365277777777779E-2</v>
      </c>
      <c r="C35" s="80" t="s">
        <v>144</v>
      </c>
      <c r="D35" s="73">
        <f>TRUNC(B35*$D$8,2)</f>
        <v>123.61</v>
      </c>
      <c r="E35" s="62" t="s">
        <v>61</v>
      </c>
    </row>
    <row r="36" spans="1:5" ht="24" x14ac:dyDescent="0.2">
      <c r="A36" s="28" t="s">
        <v>115</v>
      </c>
      <c r="B36" s="56">
        <f>D36/D8</f>
        <v>3.5804805866639729E-4</v>
      </c>
      <c r="C36" s="80" t="s">
        <v>198</v>
      </c>
      <c r="D36" s="71">
        <f>TRUNC((((D8*(1+(1/3)))/12)+(D63-(D57+D58)))*(4/12)*0.01092*0.443,2)</f>
        <v>2.41</v>
      </c>
      <c r="E36" s="46" t="s">
        <v>79</v>
      </c>
    </row>
    <row r="37" spans="1:5" ht="29.25" customHeight="1" x14ac:dyDescent="0.2">
      <c r="A37" s="47" t="s">
        <v>116</v>
      </c>
      <c r="B37" s="44">
        <f>B20*SUM(B28,B29,B31,B32,B33,B34,B35)</f>
        <v>5.2271101176666668E-2</v>
      </c>
      <c r="C37" s="80" t="s">
        <v>124</v>
      </c>
      <c r="D37" s="73">
        <f>TRUNC(B37*$D$8,2)</f>
        <v>351.83</v>
      </c>
      <c r="E37" s="62" t="s">
        <v>83</v>
      </c>
    </row>
    <row r="38" spans="1:5" ht="25.5" x14ac:dyDescent="0.2">
      <c r="A38" s="47" t="s">
        <v>118</v>
      </c>
      <c r="B38" s="56">
        <f>B20*B36</f>
        <v>1.2102024382924231E-4</v>
      </c>
      <c r="C38" s="30" t="s">
        <v>120</v>
      </c>
      <c r="D38" s="73">
        <f>TRUNC(B38*$D$8,2)</f>
        <v>0.81</v>
      </c>
      <c r="E38" s="46" t="s">
        <v>165</v>
      </c>
    </row>
    <row r="39" spans="1:5" ht="16.5" customHeight="1" thickBot="1" x14ac:dyDescent="0.25">
      <c r="A39" s="4" t="s">
        <v>55</v>
      </c>
      <c r="B39" s="33">
        <f>SUM(B28:B38)</f>
        <v>0.21670764733782194</v>
      </c>
      <c r="C39" s="5" t="s">
        <v>20</v>
      </c>
      <c r="D39" s="89">
        <f>SUM(D28:D38)</f>
        <v>1458.61</v>
      </c>
      <c r="E39" s="7" t="s">
        <v>12</v>
      </c>
    </row>
    <row r="40" spans="1:5" ht="27.75" customHeight="1" x14ac:dyDescent="0.2">
      <c r="A40" s="100" t="s">
        <v>117</v>
      </c>
      <c r="B40" s="100" t="s">
        <v>109</v>
      </c>
      <c r="D40" s="179" t="s">
        <v>194</v>
      </c>
      <c r="E40" s="166"/>
    </row>
    <row r="41" spans="1:5" ht="16.5" customHeight="1" x14ac:dyDescent="0.2">
      <c r="A41" s="100" t="s">
        <v>108</v>
      </c>
      <c r="B41" s="173" t="s">
        <v>196</v>
      </c>
      <c r="C41" s="161"/>
      <c r="D41" s="151"/>
      <c r="E41" s="45"/>
    </row>
    <row r="42" spans="1:5" ht="16.5" customHeight="1" thickBot="1" x14ac:dyDescent="0.25">
      <c r="A42" s="140" t="s">
        <v>200</v>
      </c>
      <c r="B42" s="93" t="s">
        <v>110</v>
      </c>
      <c r="C42" s="34"/>
      <c r="D42" s="97"/>
      <c r="E42" s="98"/>
    </row>
    <row r="43" spans="1:5" ht="16.5" customHeight="1" x14ac:dyDescent="0.2">
      <c r="A43" s="3" t="s">
        <v>56</v>
      </c>
      <c r="B43" s="1" t="s">
        <v>23</v>
      </c>
      <c r="C43" s="1" t="s">
        <v>16</v>
      </c>
      <c r="D43" s="23" t="s">
        <v>11</v>
      </c>
      <c r="E43" s="2" t="s">
        <v>17</v>
      </c>
    </row>
    <row r="44" spans="1:5" ht="16.5" customHeight="1" x14ac:dyDescent="0.2">
      <c r="A44" s="29" t="s">
        <v>57</v>
      </c>
      <c r="B44" s="57">
        <f>(1/12)*0.0555</f>
        <v>4.6249999999999998E-3</v>
      </c>
      <c r="C44" s="81" t="s">
        <v>143</v>
      </c>
      <c r="D44" s="90">
        <f>TRUNC(B44*$D$8,2)</f>
        <v>31.13</v>
      </c>
      <c r="E44" s="79" t="s">
        <v>58</v>
      </c>
    </row>
    <row r="45" spans="1:5" ht="16.5" customHeight="1" x14ac:dyDescent="0.2">
      <c r="A45" s="29" t="s">
        <v>59</v>
      </c>
      <c r="B45" s="59">
        <f>(1/12)*0.055*0.08</f>
        <v>3.6666666666666667E-4</v>
      </c>
      <c r="C45" s="58" t="s">
        <v>137</v>
      </c>
      <c r="D45" s="90">
        <f>TRUNC(B45*$D$8,2)</f>
        <v>2.46</v>
      </c>
      <c r="E45" s="79" t="s">
        <v>60</v>
      </c>
    </row>
    <row r="46" spans="1:5" ht="16.5" customHeight="1" x14ac:dyDescent="0.2">
      <c r="A46" s="28" t="s">
        <v>102</v>
      </c>
      <c r="B46" s="60">
        <f>0.4*0.08</f>
        <v>3.2000000000000001E-2</v>
      </c>
      <c r="C46" s="30" t="s">
        <v>127</v>
      </c>
      <c r="D46" s="90">
        <f>TRUNC(B46*$D$8,2)</f>
        <v>215.39</v>
      </c>
      <c r="E46" s="79" t="s">
        <v>84</v>
      </c>
    </row>
    <row r="47" spans="1:5" ht="17.25" customHeight="1" x14ac:dyDescent="0.2">
      <c r="A47" s="28" t="s">
        <v>103</v>
      </c>
      <c r="B47" s="95">
        <f>(1/12)*0.01</f>
        <v>8.3333333333333328E-4</v>
      </c>
      <c r="C47" s="96" t="s">
        <v>121</v>
      </c>
      <c r="D47" s="90">
        <f>TRUNC(B47*$D$8,2)</f>
        <v>5.6</v>
      </c>
      <c r="E47" s="62" t="s">
        <v>87</v>
      </c>
    </row>
    <row r="48" spans="1:5" ht="17.25" customHeight="1" x14ac:dyDescent="0.2">
      <c r="A48" s="29" t="s">
        <v>104</v>
      </c>
      <c r="B48" s="60">
        <f>0.08*B32</f>
        <v>2.4766666666666664E-5</v>
      </c>
      <c r="C48" s="96" t="s">
        <v>123</v>
      </c>
      <c r="D48" s="90">
        <f>TRUNC(B48*D8,2)</f>
        <v>0.16</v>
      </c>
      <c r="E48" s="79" t="s">
        <v>158</v>
      </c>
    </row>
    <row r="49" spans="1:5" ht="17.25" customHeight="1" thickBot="1" x14ac:dyDescent="0.25">
      <c r="A49" s="4" t="s">
        <v>62</v>
      </c>
      <c r="B49" s="33">
        <f>SUM(B44:B48)</f>
        <v>3.7849766666666666E-2</v>
      </c>
      <c r="C49" s="5" t="s">
        <v>20</v>
      </c>
      <c r="D49" s="74">
        <f>SUM(D44:D48)</f>
        <v>254.73999999999998</v>
      </c>
      <c r="E49" s="7" t="s">
        <v>12</v>
      </c>
    </row>
    <row r="50" spans="1:5" ht="13.5" x14ac:dyDescent="0.2">
      <c r="A50" s="91" t="s">
        <v>141</v>
      </c>
      <c r="B50" s="178" t="s">
        <v>140</v>
      </c>
      <c r="C50" s="158"/>
      <c r="D50" s="158"/>
      <c r="E50" s="159"/>
    </row>
    <row r="51" spans="1:5" ht="14.25" thickBot="1" x14ac:dyDescent="0.25">
      <c r="A51" s="77" t="s">
        <v>129</v>
      </c>
      <c r="B51" s="173" t="s">
        <v>147</v>
      </c>
      <c r="C51" s="160"/>
      <c r="D51" s="160"/>
      <c r="E51" s="174"/>
    </row>
    <row r="52" spans="1:5" ht="16.5" customHeight="1" thickBot="1" x14ac:dyDescent="0.25">
      <c r="A52" s="8" t="s">
        <v>63</v>
      </c>
      <c r="B52" s="87">
        <f>SUM(B49,B39,B25,B20)</f>
        <v>0.70405741400448862</v>
      </c>
      <c r="C52" s="10" t="s">
        <v>64</v>
      </c>
      <c r="D52" s="88">
        <f>SUM(D20,D25,D39,D49)</f>
        <v>4738.8599999999997</v>
      </c>
      <c r="E52" s="11" t="s">
        <v>12</v>
      </c>
    </row>
    <row r="53" spans="1:5" ht="13.5" thickBot="1" x14ac:dyDescent="0.25">
      <c r="A53" s="78"/>
      <c r="B53" s="78"/>
      <c r="C53" s="78"/>
      <c r="D53" s="61"/>
      <c r="E53" s="78"/>
    </row>
    <row r="54" spans="1:5" ht="16.5" customHeight="1" thickBot="1" x14ac:dyDescent="0.25">
      <c r="A54" s="155" t="s">
        <v>153</v>
      </c>
      <c r="B54" s="156"/>
      <c r="C54" s="156"/>
      <c r="D54" s="156"/>
      <c r="E54" s="157"/>
    </row>
    <row r="55" spans="1:5" ht="17.25" customHeight="1" x14ac:dyDescent="0.2">
      <c r="A55" s="3" t="s">
        <v>152</v>
      </c>
      <c r="B55" s="84" t="s">
        <v>11</v>
      </c>
      <c r="C55" s="1" t="s">
        <v>16</v>
      </c>
      <c r="D55" s="23" t="s">
        <v>11</v>
      </c>
      <c r="E55" s="2" t="s">
        <v>17</v>
      </c>
    </row>
    <row r="56" spans="1:5" ht="25.5" x14ac:dyDescent="0.2">
      <c r="A56" s="28" t="s">
        <v>168</v>
      </c>
      <c r="B56" s="85">
        <v>34.18</v>
      </c>
      <c r="C56" s="26" t="str">
        <f>B56 &amp; " * 22"</f>
        <v>34,18 * 22</v>
      </c>
      <c r="D56" s="73">
        <f>TRUNC(B56*22,2)</f>
        <v>751.96</v>
      </c>
      <c r="E56" s="27" t="s">
        <v>185</v>
      </c>
    </row>
    <row r="57" spans="1:5" ht="25.5" x14ac:dyDescent="0.2">
      <c r="A57" s="28" t="s">
        <v>85</v>
      </c>
      <c r="B57" s="85">
        <v>5.25</v>
      </c>
      <c r="C57" s="26" t="str">
        <f>B57&amp; " * 4 * 22"</f>
        <v>5,25 * 4 * 22</v>
      </c>
      <c r="D57" s="73">
        <f>TRUNC(B57*22*4,2)</f>
        <v>462</v>
      </c>
      <c r="E57" s="27" t="s">
        <v>186</v>
      </c>
    </row>
    <row r="58" spans="1:5" ht="17.25" customHeight="1" x14ac:dyDescent="0.2">
      <c r="A58" s="28" t="s">
        <v>86</v>
      </c>
      <c r="B58" s="85">
        <f>D58</f>
        <v>-403.85</v>
      </c>
      <c r="C58" s="26" t="s">
        <v>65</v>
      </c>
      <c r="D58" s="73">
        <f>IF(D57&gt;=TRUNC(0.06*D7,2),TRUNC(-0.06*D7,2),-D57)</f>
        <v>-403.85</v>
      </c>
      <c r="E58" s="62" t="s">
        <v>90</v>
      </c>
    </row>
    <row r="59" spans="1:5" ht="17.25" customHeight="1" x14ac:dyDescent="0.2">
      <c r="A59" s="28" t="s">
        <v>75</v>
      </c>
      <c r="B59" s="85">
        <f>'Quadro Resumo'!B26</f>
        <v>0</v>
      </c>
      <c r="C59" s="26" t="str">
        <f>B59 &amp; " * 3"</f>
        <v>0 * 3</v>
      </c>
      <c r="D59" s="73">
        <f>ROUND(B59*3,2)</f>
        <v>0</v>
      </c>
      <c r="E59" s="132" t="s">
        <v>166</v>
      </c>
    </row>
    <row r="60" spans="1:5" ht="17.25" customHeight="1" x14ac:dyDescent="0.2">
      <c r="A60" s="68" t="s">
        <v>126</v>
      </c>
      <c r="B60" s="136">
        <f>'Quadro Resumo'!B27</f>
        <v>0</v>
      </c>
      <c r="C60" s="58" t="str">
        <f>B60&amp;" * 3/12"</f>
        <v>0 * 3/12</v>
      </c>
      <c r="D60" s="75">
        <f>ROUND(B60*3/12,2)</f>
        <v>0</v>
      </c>
      <c r="E60" s="137" t="s">
        <v>166</v>
      </c>
    </row>
    <row r="61" spans="1:5" ht="33.75" customHeight="1" x14ac:dyDescent="0.2">
      <c r="A61" s="138" t="s">
        <v>178</v>
      </c>
      <c r="B61" s="133">
        <f>ROUNDUP('CUSTOS DE VALOR SUBJETIVO'!B9/12,2)</f>
        <v>0</v>
      </c>
      <c r="C61" s="30" t="s">
        <v>135</v>
      </c>
      <c r="D61" s="73">
        <f>B61</f>
        <v>0</v>
      </c>
      <c r="E61" s="132" t="s">
        <v>179</v>
      </c>
    </row>
    <row r="62" spans="1:5" ht="31.5" customHeight="1" x14ac:dyDescent="0.2">
      <c r="A62" s="29" t="s">
        <v>130</v>
      </c>
      <c r="B62" s="85">
        <f>ROUNDUP('CUSTOS DE VALOR SUBJETIVO'!B17/12,2)</f>
        <v>0</v>
      </c>
      <c r="C62" s="58" t="s">
        <v>135</v>
      </c>
      <c r="D62" s="75">
        <f>B62</f>
        <v>0</v>
      </c>
      <c r="E62" s="82" t="s">
        <v>94</v>
      </c>
    </row>
    <row r="63" spans="1:5" ht="17.25" customHeight="1" thickBot="1" x14ac:dyDescent="0.25">
      <c r="A63" s="4" t="s">
        <v>96</v>
      </c>
      <c r="B63" s="86"/>
      <c r="C63" s="5" t="s">
        <v>20</v>
      </c>
      <c r="D63" s="74">
        <f>SUM(D56:D62)</f>
        <v>810.11</v>
      </c>
      <c r="E63" s="7" t="s">
        <v>12</v>
      </c>
    </row>
    <row r="64" spans="1:5" x14ac:dyDescent="0.2">
      <c r="A64" s="175" t="s">
        <v>167</v>
      </c>
      <c r="B64" s="176"/>
      <c r="C64" s="176"/>
      <c r="D64" s="176"/>
      <c r="E64" s="176"/>
    </row>
    <row r="65" spans="1:5" ht="13.5" thickBot="1" x14ac:dyDescent="0.25">
      <c r="A65" s="177"/>
      <c r="B65" s="177"/>
      <c r="C65" s="177"/>
      <c r="D65" s="177"/>
      <c r="E65" s="177"/>
    </row>
    <row r="66" spans="1:5" ht="30.75" customHeight="1" thickBot="1" x14ac:dyDescent="0.25">
      <c r="A66" s="12" t="s">
        <v>66</v>
      </c>
      <c r="B66" s="9" t="s">
        <v>12</v>
      </c>
      <c r="C66" s="9" t="s">
        <v>67</v>
      </c>
      <c r="D66" s="32">
        <f>SUM(D8,D52,D63)</f>
        <v>12279.91</v>
      </c>
      <c r="E66" s="11" t="s">
        <v>12</v>
      </c>
    </row>
    <row r="67" spans="1:5" ht="13.5" thickBot="1" x14ac:dyDescent="0.25">
      <c r="A67" s="63"/>
      <c r="B67" s="64"/>
      <c r="C67" s="64"/>
      <c r="D67" s="65"/>
      <c r="E67" s="66"/>
    </row>
    <row r="68" spans="1:5" ht="17.25" customHeight="1" x14ac:dyDescent="0.2">
      <c r="A68" s="3" t="s">
        <v>119</v>
      </c>
      <c r="B68" s="1" t="s">
        <v>23</v>
      </c>
      <c r="C68" s="1" t="s">
        <v>16</v>
      </c>
      <c r="D68" s="23" t="s">
        <v>11</v>
      </c>
      <c r="E68" s="2" t="s">
        <v>17</v>
      </c>
    </row>
    <row r="69" spans="1:5" ht="17.25" customHeight="1" x14ac:dyDescent="0.2">
      <c r="A69" s="28" t="s">
        <v>98</v>
      </c>
      <c r="B69" s="69">
        <f>'Quadro Resumo'!B21</f>
        <v>0</v>
      </c>
      <c r="C69" s="134" t="s">
        <v>12</v>
      </c>
      <c r="D69" s="83">
        <f>TRUNC(B69*D66,2)</f>
        <v>0</v>
      </c>
      <c r="E69" s="40" t="s">
        <v>12</v>
      </c>
    </row>
    <row r="70" spans="1:5" ht="30.75" customHeight="1" x14ac:dyDescent="0.2">
      <c r="A70" s="28" t="s">
        <v>6</v>
      </c>
      <c r="B70" s="69">
        <f>'Quadro Resumo'!B22</f>
        <v>0</v>
      </c>
      <c r="C70" s="26" t="s">
        <v>135</v>
      </c>
      <c r="D70" s="83">
        <f>TRUNC(B70*D66,2)</f>
        <v>0</v>
      </c>
      <c r="E70" s="27" t="s">
        <v>136</v>
      </c>
    </row>
    <row r="71" spans="1:5" ht="16.5" customHeight="1" thickBot="1" x14ac:dyDescent="0.25">
      <c r="A71" s="4" t="s">
        <v>68</v>
      </c>
      <c r="B71" s="33">
        <f>SUM(B69:B70)</f>
        <v>0</v>
      </c>
      <c r="C71" s="5" t="s">
        <v>20</v>
      </c>
      <c r="D71" s="72">
        <f>SUM(D69:D70)</f>
        <v>0</v>
      </c>
      <c r="E71" s="7" t="s">
        <v>12</v>
      </c>
    </row>
    <row r="72" spans="1:5" ht="24" customHeight="1" thickBot="1" x14ac:dyDescent="0.25">
      <c r="A72" s="99"/>
      <c r="B72" s="78"/>
      <c r="C72" s="78"/>
      <c r="D72" s="39"/>
      <c r="E72" s="78"/>
    </row>
    <row r="73" spans="1:5" ht="16.5" customHeight="1" x14ac:dyDescent="0.2">
      <c r="A73" s="13" t="s">
        <v>69</v>
      </c>
      <c r="B73" s="1" t="s">
        <v>23</v>
      </c>
      <c r="C73" s="1" t="s">
        <v>16</v>
      </c>
      <c r="D73" s="23" t="s">
        <v>11</v>
      </c>
      <c r="E73" s="2" t="s">
        <v>17</v>
      </c>
    </row>
    <row r="74" spans="1:5" ht="16.5" customHeight="1" x14ac:dyDescent="0.2">
      <c r="A74" s="28" t="s">
        <v>7</v>
      </c>
      <c r="B74" s="69">
        <f>'Quadro Resumo'!B34</f>
        <v>0</v>
      </c>
      <c r="C74" s="171" t="s">
        <v>97</v>
      </c>
      <c r="D74" s="73">
        <f>TRUNC((($D$66+$D$71)/(1-(($B$74+$B$75+$B$76))))*(B74),2)</f>
        <v>0</v>
      </c>
      <c r="E74" s="62" t="s">
        <v>93</v>
      </c>
    </row>
    <row r="75" spans="1:5" ht="16.5" customHeight="1" x14ac:dyDescent="0.2">
      <c r="A75" s="28" t="s">
        <v>8</v>
      </c>
      <c r="B75" s="69">
        <f>'Quadro Resumo'!B35</f>
        <v>0</v>
      </c>
      <c r="C75" s="172"/>
      <c r="D75" s="73">
        <f>TRUNC((($D$66+$D$71)/(1-(($B$74+$B$75+$B$76))))*(B75),2)</f>
        <v>0</v>
      </c>
      <c r="E75" s="27" t="s">
        <v>92</v>
      </c>
    </row>
    <row r="76" spans="1:5" ht="16.5" customHeight="1" x14ac:dyDescent="0.2">
      <c r="A76" s="28" t="s">
        <v>9</v>
      </c>
      <c r="B76" s="69">
        <f>'Quadro Resumo'!B36</f>
        <v>0</v>
      </c>
      <c r="C76" s="172"/>
      <c r="D76" s="73">
        <f>TRUNC((($D$66+$D$71)/(1-(($B$74+$B$75+$B$76))))*(B76),2)</f>
        <v>0</v>
      </c>
      <c r="E76" s="62" t="s">
        <v>91</v>
      </c>
    </row>
    <row r="77" spans="1:5" ht="16.5" customHeight="1" thickBot="1" x14ac:dyDescent="0.25">
      <c r="A77" s="4" t="s">
        <v>70</v>
      </c>
      <c r="B77" s="33">
        <f>SUM(B74:B76)</f>
        <v>0</v>
      </c>
      <c r="C77" s="5" t="s">
        <v>20</v>
      </c>
      <c r="D77" s="74">
        <f>SUM(D74:D76)</f>
        <v>0</v>
      </c>
      <c r="E77" s="7" t="s">
        <v>12</v>
      </c>
    </row>
    <row r="78" spans="1:5" ht="13.5" thickBot="1" x14ac:dyDescent="0.25">
      <c r="A78" s="68"/>
      <c r="B78" s="78"/>
      <c r="C78" s="78"/>
      <c r="D78" s="39"/>
      <c r="E78" s="78"/>
    </row>
    <row r="79" spans="1:5" ht="16.5" customHeight="1" thickBot="1" x14ac:dyDescent="0.25">
      <c r="A79" s="14" t="s">
        <v>71</v>
      </c>
      <c r="B79" s="15" t="s">
        <v>12</v>
      </c>
      <c r="C79" s="1" t="s">
        <v>16</v>
      </c>
      <c r="D79" s="24" t="s">
        <v>72</v>
      </c>
      <c r="E79" s="2" t="s">
        <v>73</v>
      </c>
    </row>
    <row r="80" spans="1:5" ht="16.5" customHeight="1" thickBot="1" x14ac:dyDescent="0.25">
      <c r="A80" s="16"/>
      <c r="B80" s="17" t="s">
        <v>12</v>
      </c>
      <c r="C80" s="17" t="s">
        <v>74</v>
      </c>
      <c r="D80" s="94">
        <f>TRUNC(SUM(D66,D71,D77),2)</f>
        <v>12279.91</v>
      </c>
      <c r="E80" s="31">
        <f>D80*12</f>
        <v>147358.91999999998</v>
      </c>
    </row>
    <row r="81" spans="1:5" ht="13.5" thickBot="1" x14ac:dyDescent="0.25">
      <c r="A81" s="34"/>
      <c r="B81" s="34"/>
      <c r="C81" s="34"/>
      <c r="D81" s="67"/>
      <c r="E81" s="34"/>
    </row>
    <row r="82" spans="1:5" x14ac:dyDescent="0.2">
      <c r="A82" s="14" t="s">
        <v>171</v>
      </c>
      <c r="B82" s="135" t="s">
        <v>12</v>
      </c>
      <c r="C82" s="141" t="s">
        <v>16</v>
      </c>
      <c r="D82" s="24" t="s">
        <v>11</v>
      </c>
      <c r="E82" s="142" t="s">
        <v>173</v>
      </c>
    </row>
    <row r="83" spans="1:5" ht="20.25" customHeight="1" x14ac:dyDescent="0.2">
      <c r="A83" s="28" t="s">
        <v>172</v>
      </c>
      <c r="B83" s="73">
        <f>E80</f>
        <v>147358.91999999998</v>
      </c>
      <c r="C83" s="143" t="s">
        <v>202</v>
      </c>
      <c r="D83" s="144">
        <f>B83*5</f>
        <v>736794.59999999986</v>
      </c>
      <c r="E83" s="167">
        <f>D83+D84</f>
        <v>736794.59999999986</v>
      </c>
    </row>
    <row r="84" spans="1:5" ht="27.75" customHeight="1" thickBot="1" x14ac:dyDescent="0.25">
      <c r="A84" s="145" t="s">
        <v>203</v>
      </c>
      <c r="B84" s="70">
        <f>'Quadro Resumo'!C17</f>
        <v>0</v>
      </c>
      <c r="C84" s="37" t="s">
        <v>204</v>
      </c>
      <c r="D84" s="146">
        <f>'Quadro Resumo'!C17</f>
        <v>0</v>
      </c>
      <c r="E84" s="168"/>
    </row>
  </sheetData>
  <sheetProtection algorithmName="SHA-512" hashValue="Xl2FDvYj7XGHJJg5QhfOnid5CgAv0Qb3VHTLpVZFrXjnHiPhEKDUUFsp91aedm5atMPjaKAq7ACiOdXbLsYQ6w==" saltValue="iSQ7upvaFOATKxVrAtkOrw==" spinCount="100000" sheet="1" objects="1" scenarios="1"/>
  <mergeCells count="11">
    <mergeCell ref="E83:E84"/>
    <mergeCell ref="B51:E51"/>
    <mergeCell ref="A54:E54"/>
    <mergeCell ref="A64:E65"/>
    <mergeCell ref="C74:C76"/>
    <mergeCell ref="B50:E50"/>
    <mergeCell ref="A1:E1"/>
    <mergeCell ref="A3:C3"/>
    <mergeCell ref="A10:E10"/>
    <mergeCell ref="D40:E40"/>
    <mergeCell ref="B41:D41"/>
  </mergeCells>
  <conditionalFormatting sqref="B62">
    <cfRule type="expression" dxfId="2" priority="1">
      <formula>ISBLANK($B$62)</formula>
    </cfRule>
  </conditionalFormatting>
  <pageMargins left="0.51181102362204722" right="0.51181102362204722" top="0.78740157480314965" bottom="0.78740157480314965" header="0.31496062992125984" footer="0.31496062992125984"/>
  <pageSetup paperSize="9" scale="4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24835-0412-4563-A269-73ECDBCF49C4}">
  <sheetPr>
    <tabColor theme="8" tint="-0.249977111117893"/>
  </sheetPr>
  <dimension ref="A1:E84"/>
  <sheetViews>
    <sheetView zoomScale="90" zoomScaleNormal="90" workbookViewId="0">
      <selection activeCell="D57" sqref="D57"/>
    </sheetView>
  </sheetViews>
  <sheetFormatPr defaultColWidth="9.140625" defaultRowHeight="12.75" x14ac:dyDescent="0.2"/>
  <cols>
    <col min="1" max="1" width="70.140625" style="21" customWidth="1"/>
    <col min="2" max="2" width="15.140625" style="21" customWidth="1"/>
    <col min="3" max="3" width="64.5703125" style="21" customWidth="1"/>
    <col min="4" max="4" width="13.5703125" style="25" customWidth="1"/>
    <col min="5" max="5" width="57.85546875" style="21" customWidth="1"/>
    <col min="6" max="6" width="1.7109375" style="21" customWidth="1"/>
    <col min="7" max="16384" width="9.140625" style="21"/>
  </cols>
  <sheetData>
    <row r="1" spans="1:5" ht="20.25" thickBot="1" x14ac:dyDescent="0.25">
      <c r="A1" s="152" t="str">
        <f>"PLANILHA DE COMPOSIÇÃO DE CUSTOS E FORMAÇÃO DE PREÇOS - " &amp; 'Quadro Resumo'!A12</f>
        <v>PLANILHA DE COMPOSIÇÃO DE CUSTOS E FORMAÇÃO DE PREÇOS - Encarregado de compras e contratos</v>
      </c>
      <c r="B1" s="153"/>
      <c r="C1" s="153"/>
      <c r="D1" s="153"/>
      <c r="E1" s="154"/>
    </row>
    <row r="2" spans="1:5" ht="20.25" thickBot="1" x14ac:dyDescent="0.25">
      <c r="A2" s="18"/>
      <c r="B2" s="19"/>
      <c r="C2" s="19"/>
      <c r="D2" s="22"/>
      <c r="E2" s="20"/>
    </row>
    <row r="3" spans="1:5" ht="17.25" customHeight="1" x14ac:dyDescent="0.2">
      <c r="A3" s="162" t="s">
        <v>155</v>
      </c>
      <c r="B3" s="163"/>
      <c r="C3" s="164"/>
      <c r="D3" s="1" t="s">
        <v>11</v>
      </c>
      <c r="E3" s="1" t="s">
        <v>12</v>
      </c>
    </row>
    <row r="4" spans="1:5" ht="17.25" customHeight="1" thickBot="1" x14ac:dyDescent="0.25">
      <c r="A4" s="35" t="str">
        <f>'Quadro Resumo'!A12</f>
        <v>Encarregado de compras e contratos</v>
      </c>
      <c r="B4" s="37"/>
      <c r="C4" s="37" t="s">
        <v>13</v>
      </c>
      <c r="D4" s="70">
        <f>'Quadro Resumo'!B12</f>
        <v>9000</v>
      </c>
      <c r="E4" s="38" t="s">
        <v>12</v>
      </c>
    </row>
    <row r="5" spans="1:5" ht="13.5" thickBot="1" x14ac:dyDescent="0.25">
      <c r="A5" s="68"/>
      <c r="B5" s="78"/>
      <c r="C5" s="78"/>
      <c r="D5" s="39"/>
      <c r="E5" s="78"/>
    </row>
    <row r="6" spans="1:5" ht="17.25" customHeight="1" x14ac:dyDescent="0.2">
      <c r="A6" s="3" t="s">
        <v>14</v>
      </c>
      <c r="B6" s="1" t="s">
        <v>15</v>
      </c>
      <c r="C6" s="1" t="s">
        <v>16</v>
      </c>
      <c r="D6" s="23" t="s">
        <v>11</v>
      </c>
      <c r="E6" s="2" t="s">
        <v>17</v>
      </c>
    </row>
    <row r="7" spans="1:5" ht="17.25" customHeight="1" x14ac:dyDescent="0.2">
      <c r="A7" s="28" t="s">
        <v>18</v>
      </c>
      <c r="B7" s="58" t="s">
        <v>12</v>
      </c>
      <c r="C7" s="26" t="s">
        <v>12</v>
      </c>
      <c r="D7" s="71">
        <f>TRUNC(D4,2)</f>
        <v>9000</v>
      </c>
      <c r="E7" s="40"/>
    </row>
    <row r="8" spans="1:5" ht="16.5" customHeight="1" thickBot="1" x14ac:dyDescent="0.25">
      <c r="A8" s="4" t="s">
        <v>19</v>
      </c>
      <c r="B8" s="5" t="s">
        <v>12</v>
      </c>
      <c r="C8" s="6" t="s">
        <v>20</v>
      </c>
      <c r="D8" s="72">
        <f>SUM(D7:D7)</f>
        <v>9000</v>
      </c>
      <c r="E8" s="7" t="s">
        <v>12</v>
      </c>
    </row>
    <row r="9" spans="1:5" ht="13.5" customHeight="1" thickBot="1" x14ac:dyDescent="0.25">
      <c r="A9" s="41"/>
      <c r="B9" s="42"/>
      <c r="C9" s="43"/>
      <c r="D9" s="39"/>
      <c r="E9" s="78"/>
    </row>
    <row r="10" spans="1:5" ht="16.5" customHeight="1" thickBot="1" x14ac:dyDescent="0.25">
      <c r="A10" s="155" t="s">
        <v>21</v>
      </c>
      <c r="B10" s="156"/>
      <c r="C10" s="156"/>
      <c r="D10" s="156"/>
      <c r="E10" s="157"/>
    </row>
    <row r="11" spans="1:5" ht="16.5" customHeight="1" x14ac:dyDescent="0.2">
      <c r="A11" s="3" t="s">
        <v>22</v>
      </c>
      <c r="B11" s="1" t="s">
        <v>23</v>
      </c>
      <c r="C11" s="1" t="s">
        <v>16</v>
      </c>
      <c r="D11" s="23" t="s">
        <v>11</v>
      </c>
      <c r="E11" s="2" t="s">
        <v>17</v>
      </c>
    </row>
    <row r="12" spans="1:5" ht="16.5" customHeight="1" x14ac:dyDescent="0.2">
      <c r="A12" s="28" t="s">
        <v>24</v>
      </c>
      <c r="B12" s="44">
        <v>0.2</v>
      </c>
      <c r="C12" s="26" t="s">
        <v>25</v>
      </c>
      <c r="D12" s="73">
        <f>TRUNC(B12*$D$8,2)</f>
        <v>1800</v>
      </c>
      <c r="E12" s="45" t="s">
        <v>26</v>
      </c>
    </row>
    <row r="13" spans="1:5" ht="16.5" customHeight="1" x14ac:dyDescent="0.2">
      <c r="A13" s="28" t="s">
        <v>27</v>
      </c>
      <c r="B13" s="44">
        <v>0.08</v>
      </c>
      <c r="C13" s="26" t="s">
        <v>28</v>
      </c>
      <c r="D13" s="73">
        <f t="shared" ref="D13:D19" si="0">TRUNC(B13*$D$8,2)</f>
        <v>720</v>
      </c>
      <c r="E13" s="46" t="s">
        <v>164</v>
      </c>
    </row>
    <row r="14" spans="1:5" ht="17.25" customHeight="1" x14ac:dyDescent="0.2">
      <c r="A14" s="28" t="s">
        <v>29</v>
      </c>
      <c r="B14" s="44">
        <v>1.4999999999999999E-2</v>
      </c>
      <c r="C14" s="26" t="s">
        <v>30</v>
      </c>
      <c r="D14" s="73">
        <f t="shared" si="0"/>
        <v>135</v>
      </c>
      <c r="E14" s="46" t="s">
        <v>31</v>
      </c>
    </row>
    <row r="15" spans="1:5" ht="17.25" customHeight="1" x14ac:dyDescent="0.2">
      <c r="A15" s="28" t="s">
        <v>32</v>
      </c>
      <c r="B15" s="44">
        <v>0.01</v>
      </c>
      <c r="C15" s="26" t="s">
        <v>33</v>
      </c>
      <c r="D15" s="73">
        <f t="shared" si="0"/>
        <v>90</v>
      </c>
      <c r="E15" s="46" t="s">
        <v>34</v>
      </c>
    </row>
    <row r="16" spans="1:5" ht="17.25" customHeight="1" x14ac:dyDescent="0.2">
      <c r="A16" s="28" t="s">
        <v>35</v>
      </c>
      <c r="B16" s="44">
        <v>2E-3</v>
      </c>
      <c r="C16" s="26" t="s">
        <v>36</v>
      </c>
      <c r="D16" s="73">
        <f t="shared" si="0"/>
        <v>18</v>
      </c>
      <c r="E16" s="46" t="s">
        <v>37</v>
      </c>
    </row>
    <row r="17" spans="1:5" ht="17.25" customHeight="1" x14ac:dyDescent="0.2">
      <c r="A17" s="28" t="s">
        <v>38</v>
      </c>
      <c r="B17" s="44">
        <v>6.0000000000000001E-3</v>
      </c>
      <c r="C17" s="26" t="s">
        <v>39</v>
      </c>
      <c r="D17" s="73">
        <f t="shared" si="0"/>
        <v>54</v>
      </c>
      <c r="E17" s="46" t="s">
        <v>40</v>
      </c>
    </row>
    <row r="18" spans="1:5" ht="17.25" customHeight="1" x14ac:dyDescent="0.2">
      <c r="A18" s="28" t="s">
        <v>41</v>
      </c>
      <c r="B18" s="44">
        <v>2.5000000000000001E-2</v>
      </c>
      <c r="C18" s="26" t="s">
        <v>42</v>
      </c>
      <c r="D18" s="73">
        <f t="shared" si="0"/>
        <v>225</v>
      </c>
      <c r="E18" s="46" t="s">
        <v>43</v>
      </c>
    </row>
    <row r="19" spans="1:5" ht="17.25" customHeight="1" x14ac:dyDescent="0.2">
      <c r="A19" s="47" t="s">
        <v>44</v>
      </c>
      <c r="B19" s="69">
        <f>'Quadro Resumo'!B31</f>
        <v>0</v>
      </c>
      <c r="C19" s="26" t="s">
        <v>45</v>
      </c>
      <c r="D19" s="73">
        <f t="shared" si="0"/>
        <v>0</v>
      </c>
      <c r="E19" s="46" t="s">
        <v>162</v>
      </c>
    </row>
    <row r="20" spans="1:5" ht="17.25" customHeight="1" thickBot="1" x14ac:dyDescent="0.25">
      <c r="A20" s="4" t="s">
        <v>46</v>
      </c>
      <c r="B20" s="33">
        <f>SUM(B12:B19)</f>
        <v>0.33800000000000008</v>
      </c>
      <c r="C20" s="5" t="s">
        <v>20</v>
      </c>
      <c r="D20" s="74">
        <f>SUM(D12:D19)</f>
        <v>3042</v>
      </c>
      <c r="E20" s="7" t="s">
        <v>12</v>
      </c>
    </row>
    <row r="21" spans="1:5" ht="13.5" thickBot="1" x14ac:dyDescent="0.25">
      <c r="A21" s="68"/>
      <c r="B21" s="78"/>
      <c r="C21" s="78"/>
      <c r="D21" s="39"/>
      <c r="E21" s="48"/>
    </row>
    <row r="22" spans="1:5" ht="15.75" customHeight="1" x14ac:dyDescent="0.2">
      <c r="A22" s="3" t="s">
        <v>82</v>
      </c>
      <c r="B22" s="1" t="s">
        <v>23</v>
      </c>
      <c r="C22" s="1" t="s">
        <v>16</v>
      </c>
      <c r="D22" s="23" t="s">
        <v>11</v>
      </c>
      <c r="E22" s="2" t="s">
        <v>17</v>
      </c>
    </row>
    <row r="23" spans="1:5" ht="15.75" customHeight="1" x14ac:dyDescent="0.2">
      <c r="A23" s="28" t="s">
        <v>47</v>
      </c>
      <c r="B23" s="44">
        <f>(1/12)</f>
        <v>8.3333333333333329E-2</v>
      </c>
      <c r="C23" s="26" t="s">
        <v>88</v>
      </c>
      <c r="D23" s="73">
        <f>TRUNC(B23*$D$8,2)</f>
        <v>750</v>
      </c>
      <c r="E23" s="46" t="s">
        <v>48</v>
      </c>
    </row>
    <row r="24" spans="1:5" ht="15.75" customHeight="1" x14ac:dyDescent="0.2">
      <c r="A24" s="29" t="s">
        <v>80</v>
      </c>
      <c r="B24" s="49">
        <f>B20*B23</f>
        <v>2.8166666666666673E-2</v>
      </c>
      <c r="C24" s="58" t="s">
        <v>89</v>
      </c>
      <c r="D24" s="73">
        <f>TRUNC(B24*$D$8,2)</f>
        <v>253.5</v>
      </c>
      <c r="E24" s="62" t="s">
        <v>163</v>
      </c>
    </row>
    <row r="25" spans="1:5" ht="16.5" customHeight="1" thickBot="1" x14ac:dyDescent="0.25">
      <c r="A25" s="4" t="s">
        <v>49</v>
      </c>
      <c r="B25" s="33">
        <f>SUM(B23:B24)</f>
        <v>0.1115</v>
      </c>
      <c r="C25" s="5" t="s">
        <v>20</v>
      </c>
      <c r="D25" s="74">
        <f>SUM(D23:D24)</f>
        <v>1003.5</v>
      </c>
      <c r="E25" s="7" t="s">
        <v>12</v>
      </c>
    </row>
    <row r="26" spans="1:5" ht="13.5" thickBot="1" x14ac:dyDescent="0.25">
      <c r="A26" s="50"/>
      <c r="B26" s="51"/>
      <c r="C26" s="51"/>
      <c r="D26" s="52"/>
      <c r="E26" s="53"/>
    </row>
    <row r="27" spans="1:5" ht="17.25" customHeight="1" x14ac:dyDescent="0.2">
      <c r="A27" s="3" t="s">
        <v>50</v>
      </c>
      <c r="B27" s="1" t="s">
        <v>23</v>
      </c>
      <c r="C27" s="1" t="s">
        <v>16</v>
      </c>
      <c r="D27" s="23" t="s">
        <v>11</v>
      </c>
      <c r="E27" s="2" t="s">
        <v>17</v>
      </c>
    </row>
    <row r="28" spans="1:5" ht="16.5" customHeight="1" x14ac:dyDescent="0.2">
      <c r="A28" s="28" t="s">
        <v>51</v>
      </c>
      <c r="B28" s="44">
        <f>1/12</f>
        <v>8.3333333333333329E-2</v>
      </c>
      <c r="C28" s="26" t="s">
        <v>88</v>
      </c>
      <c r="D28" s="73">
        <f t="shared" ref="D28:D34" si="1">TRUNC(B28*$D$8,2)</f>
        <v>750</v>
      </c>
      <c r="E28" s="46" t="s">
        <v>79</v>
      </c>
    </row>
    <row r="29" spans="1:5" ht="16.5" customHeight="1" x14ac:dyDescent="0.2">
      <c r="A29" s="28" t="s">
        <v>81</v>
      </c>
      <c r="B29" s="54">
        <f>(1/3)/12</f>
        <v>2.7777777777777776E-2</v>
      </c>
      <c r="C29" s="26" t="s">
        <v>95</v>
      </c>
      <c r="D29" s="73">
        <f t="shared" si="1"/>
        <v>250</v>
      </c>
      <c r="E29" s="46" t="s">
        <v>79</v>
      </c>
    </row>
    <row r="30" spans="1:5" ht="27.75" customHeight="1" x14ac:dyDescent="0.2">
      <c r="A30" s="28" t="s">
        <v>106</v>
      </c>
      <c r="B30" s="69">
        <f>D30/D8</f>
        <v>6.9622222222222221E-3</v>
      </c>
      <c r="C30" s="80" t="s">
        <v>150</v>
      </c>
      <c r="D30" s="71">
        <f>TRUNC((D63-(D57+D58))/12,2)</f>
        <v>62.66</v>
      </c>
      <c r="E30" s="46" t="s">
        <v>105</v>
      </c>
    </row>
    <row r="31" spans="1:5" ht="16.5" customHeight="1" x14ac:dyDescent="0.2">
      <c r="A31" s="28" t="s">
        <v>107</v>
      </c>
      <c r="B31" s="44">
        <f>(5.96/30)/12</f>
        <v>1.6555555555555556E-2</v>
      </c>
      <c r="C31" s="26" t="s">
        <v>99</v>
      </c>
      <c r="D31" s="73">
        <f t="shared" si="1"/>
        <v>149</v>
      </c>
      <c r="E31" s="46" t="s">
        <v>157</v>
      </c>
    </row>
    <row r="32" spans="1:5" ht="16.5" customHeight="1" x14ac:dyDescent="0.2">
      <c r="A32" s="28" t="s">
        <v>111</v>
      </c>
      <c r="B32" s="44">
        <f>(((15/30)/12)*0.00743)</f>
        <v>3.0958333333333331E-4</v>
      </c>
      <c r="C32" s="55" t="s">
        <v>201</v>
      </c>
      <c r="D32" s="73">
        <f t="shared" si="1"/>
        <v>2.78</v>
      </c>
      <c r="E32" s="46" t="s">
        <v>52</v>
      </c>
    </row>
    <row r="33" spans="1:5" ht="16.5" customHeight="1" x14ac:dyDescent="0.2">
      <c r="A33" s="28" t="s">
        <v>112</v>
      </c>
      <c r="B33" s="44">
        <f>(2.96/30)/12</f>
        <v>8.2222222222222228E-3</v>
      </c>
      <c r="C33" s="36" t="s">
        <v>101</v>
      </c>
      <c r="D33" s="73">
        <f t="shared" si="1"/>
        <v>74</v>
      </c>
      <c r="E33" s="46" t="s">
        <v>53</v>
      </c>
    </row>
    <row r="34" spans="1:5" ht="16.5" customHeight="1" x14ac:dyDescent="0.2">
      <c r="A34" s="28" t="s">
        <v>113</v>
      </c>
      <c r="B34" s="44">
        <f>((5/30)/12)*0.557*0.01092</f>
        <v>8.447833333333332E-5</v>
      </c>
      <c r="C34" s="30" t="s">
        <v>197</v>
      </c>
      <c r="D34" s="73">
        <f t="shared" si="1"/>
        <v>0.76</v>
      </c>
      <c r="E34" s="46" t="s">
        <v>156</v>
      </c>
    </row>
    <row r="35" spans="1:5" ht="16.5" customHeight="1" x14ac:dyDescent="0.2">
      <c r="A35" s="28" t="s">
        <v>114</v>
      </c>
      <c r="B35" s="56">
        <f>((7/30)/12)*0.9445</f>
        <v>1.8365277777777779E-2</v>
      </c>
      <c r="C35" s="80" t="s">
        <v>144</v>
      </c>
      <c r="D35" s="73">
        <f>TRUNC(B35*$D$8,2)</f>
        <v>165.28</v>
      </c>
      <c r="E35" s="62" t="s">
        <v>61</v>
      </c>
    </row>
    <row r="36" spans="1:5" ht="24" x14ac:dyDescent="0.2">
      <c r="A36" s="28" t="s">
        <v>115</v>
      </c>
      <c r="B36" s="56">
        <f>D36/D8</f>
        <v>3.1333333333333332E-4</v>
      </c>
      <c r="C36" s="80" t="s">
        <v>198</v>
      </c>
      <c r="D36" s="71">
        <f>TRUNC((((D8*(1+(1/3)))/12)+(D63-(D57+D58)))*(4/12)*0.01092*0.443,2)</f>
        <v>2.82</v>
      </c>
      <c r="E36" s="46" t="s">
        <v>79</v>
      </c>
    </row>
    <row r="37" spans="1:5" ht="29.25" customHeight="1" x14ac:dyDescent="0.2">
      <c r="A37" s="47" t="s">
        <v>116</v>
      </c>
      <c r="B37" s="44">
        <f>B20*SUM(B28,B29,B31,B32,B33,B34,B35)</f>
        <v>5.2271101176666668E-2</v>
      </c>
      <c r="C37" s="80" t="s">
        <v>124</v>
      </c>
      <c r="D37" s="73">
        <f>TRUNC(B37*$D$8,2)</f>
        <v>470.43</v>
      </c>
      <c r="E37" s="62" t="s">
        <v>83</v>
      </c>
    </row>
    <row r="38" spans="1:5" ht="25.5" x14ac:dyDescent="0.2">
      <c r="A38" s="47" t="s">
        <v>118</v>
      </c>
      <c r="B38" s="56">
        <f>B20*B36</f>
        <v>1.0590666666666669E-4</v>
      </c>
      <c r="C38" s="30" t="s">
        <v>120</v>
      </c>
      <c r="D38" s="73">
        <f>TRUNC(B38*$D$8,2)</f>
        <v>0.95</v>
      </c>
      <c r="E38" s="46" t="s">
        <v>165</v>
      </c>
    </row>
    <row r="39" spans="1:5" ht="16.5" customHeight="1" thickBot="1" x14ac:dyDescent="0.25">
      <c r="A39" s="4" t="s">
        <v>55</v>
      </c>
      <c r="B39" s="33">
        <f>SUM(B28:B38)</f>
        <v>0.21430079173222219</v>
      </c>
      <c r="C39" s="5" t="s">
        <v>20</v>
      </c>
      <c r="D39" s="89">
        <f>SUM(D28:D38)</f>
        <v>1928.68</v>
      </c>
      <c r="E39" s="7" t="s">
        <v>12</v>
      </c>
    </row>
    <row r="40" spans="1:5" ht="27.75" customHeight="1" x14ac:dyDescent="0.2">
      <c r="A40" s="100" t="s">
        <v>117</v>
      </c>
      <c r="B40" s="100" t="s">
        <v>109</v>
      </c>
      <c r="D40" s="179" t="s">
        <v>194</v>
      </c>
      <c r="E40" s="166"/>
    </row>
    <row r="41" spans="1:5" ht="16.5" customHeight="1" x14ac:dyDescent="0.2">
      <c r="A41" s="100" t="s">
        <v>108</v>
      </c>
      <c r="B41" s="173" t="s">
        <v>196</v>
      </c>
      <c r="C41" s="161"/>
      <c r="D41" s="151"/>
      <c r="E41" s="45"/>
    </row>
    <row r="42" spans="1:5" ht="16.5" customHeight="1" thickBot="1" x14ac:dyDescent="0.25">
      <c r="A42" s="140" t="s">
        <v>200</v>
      </c>
      <c r="B42" s="93" t="s">
        <v>110</v>
      </c>
      <c r="C42" s="34"/>
      <c r="D42" s="97"/>
      <c r="E42" s="98"/>
    </row>
    <row r="43" spans="1:5" ht="16.5" customHeight="1" x14ac:dyDescent="0.2">
      <c r="A43" s="3" t="s">
        <v>56</v>
      </c>
      <c r="B43" s="1" t="s">
        <v>23</v>
      </c>
      <c r="C43" s="1" t="s">
        <v>16</v>
      </c>
      <c r="D43" s="23" t="s">
        <v>11</v>
      </c>
      <c r="E43" s="2" t="s">
        <v>17</v>
      </c>
    </row>
    <row r="44" spans="1:5" ht="16.5" customHeight="1" x14ac:dyDescent="0.2">
      <c r="A44" s="29" t="s">
        <v>57</v>
      </c>
      <c r="B44" s="57">
        <f>(1/12)*0.0555</f>
        <v>4.6249999999999998E-3</v>
      </c>
      <c r="C44" s="81" t="s">
        <v>143</v>
      </c>
      <c r="D44" s="90">
        <f>TRUNC(B44*$D$8,2)</f>
        <v>41.62</v>
      </c>
      <c r="E44" s="79" t="s">
        <v>58</v>
      </c>
    </row>
    <row r="45" spans="1:5" ht="16.5" customHeight="1" x14ac:dyDescent="0.2">
      <c r="A45" s="29" t="s">
        <v>59</v>
      </c>
      <c r="B45" s="59">
        <f>(1/12)*0.055*0.08</f>
        <v>3.6666666666666667E-4</v>
      </c>
      <c r="C45" s="58" t="s">
        <v>137</v>
      </c>
      <c r="D45" s="90">
        <f>TRUNC(B45*$D$8,2)</f>
        <v>3.3</v>
      </c>
      <c r="E45" s="79" t="s">
        <v>60</v>
      </c>
    </row>
    <row r="46" spans="1:5" ht="16.5" customHeight="1" x14ac:dyDescent="0.2">
      <c r="A46" s="28" t="s">
        <v>102</v>
      </c>
      <c r="B46" s="60">
        <f>0.4*0.08</f>
        <v>3.2000000000000001E-2</v>
      </c>
      <c r="C46" s="30" t="s">
        <v>127</v>
      </c>
      <c r="D46" s="90">
        <f>TRUNC(B46*$D$8,2)</f>
        <v>288</v>
      </c>
      <c r="E46" s="79" t="s">
        <v>84</v>
      </c>
    </row>
    <row r="47" spans="1:5" ht="17.25" customHeight="1" x14ac:dyDescent="0.2">
      <c r="A47" s="28" t="s">
        <v>103</v>
      </c>
      <c r="B47" s="95">
        <f>(1/12)*0.01</f>
        <v>8.3333333333333328E-4</v>
      </c>
      <c r="C47" s="96" t="s">
        <v>121</v>
      </c>
      <c r="D47" s="90">
        <f>TRUNC(B47*$D$8,2)</f>
        <v>7.5</v>
      </c>
      <c r="E47" s="62" t="s">
        <v>87</v>
      </c>
    </row>
    <row r="48" spans="1:5" ht="17.25" customHeight="1" x14ac:dyDescent="0.2">
      <c r="A48" s="29" t="s">
        <v>104</v>
      </c>
      <c r="B48" s="60">
        <f>0.08*B32</f>
        <v>2.4766666666666664E-5</v>
      </c>
      <c r="C48" s="96" t="s">
        <v>123</v>
      </c>
      <c r="D48" s="90">
        <f>TRUNC(B48*D8,2)</f>
        <v>0.22</v>
      </c>
      <c r="E48" s="79" t="s">
        <v>158</v>
      </c>
    </row>
    <row r="49" spans="1:5" ht="17.25" customHeight="1" thickBot="1" x14ac:dyDescent="0.25">
      <c r="A49" s="4" t="s">
        <v>62</v>
      </c>
      <c r="B49" s="33">
        <f>SUM(B44:B48)</f>
        <v>3.7849766666666666E-2</v>
      </c>
      <c r="C49" s="5" t="s">
        <v>20</v>
      </c>
      <c r="D49" s="74">
        <f>SUM(D44:D48)</f>
        <v>340.64000000000004</v>
      </c>
      <c r="E49" s="7" t="s">
        <v>12</v>
      </c>
    </row>
    <row r="50" spans="1:5" ht="13.5" x14ac:dyDescent="0.2">
      <c r="A50" s="91" t="s">
        <v>141</v>
      </c>
      <c r="B50" s="178" t="s">
        <v>140</v>
      </c>
      <c r="C50" s="158"/>
      <c r="D50" s="158"/>
      <c r="E50" s="159"/>
    </row>
    <row r="51" spans="1:5" ht="14.25" thickBot="1" x14ac:dyDescent="0.25">
      <c r="A51" s="77" t="s">
        <v>129</v>
      </c>
      <c r="B51" s="173" t="s">
        <v>147</v>
      </c>
      <c r="C51" s="160"/>
      <c r="D51" s="160"/>
      <c r="E51" s="174"/>
    </row>
    <row r="52" spans="1:5" ht="16.5" customHeight="1" thickBot="1" x14ac:dyDescent="0.25">
      <c r="A52" s="8" t="s">
        <v>63</v>
      </c>
      <c r="B52" s="87">
        <f>SUM(B49,B39,B25,B20)</f>
        <v>0.7016505583988889</v>
      </c>
      <c r="C52" s="10" t="s">
        <v>64</v>
      </c>
      <c r="D52" s="88">
        <f>SUM(D20,D25,D39,D49)</f>
        <v>6314.8200000000006</v>
      </c>
      <c r="E52" s="11" t="s">
        <v>12</v>
      </c>
    </row>
    <row r="53" spans="1:5" ht="13.5" thickBot="1" x14ac:dyDescent="0.25">
      <c r="A53" s="78"/>
      <c r="B53" s="78"/>
      <c r="C53" s="78"/>
      <c r="D53" s="61"/>
      <c r="E53" s="78"/>
    </row>
    <row r="54" spans="1:5" ht="16.5" customHeight="1" thickBot="1" x14ac:dyDescent="0.25">
      <c r="A54" s="155" t="s">
        <v>153</v>
      </c>
      <c r="B54" s="156"/>
      <c r="C54" s="156"/>
      <c r="D54" s="156"/>
      <c r="E54" s="157"/>
    </row>
    <row r="55" spans="1:5" ht="17.25" customHeight="1" x14ac:dyDescent="0.2">
      <c r="A55" s="3" t="s">
        <v>152</v>
      </c>
      <c r="B55" s="84" t="s">
        <v>11</v>
      </c>
      <c r="C55" s="1" t="s">
        <v>16</v>
      </c>
      <c r="D55" s="23" t="s">
        <v>11</v>
      </c>
      <c r="E55" s="2" t="s">
        <v>17</v>
      </c>
    </row>
    <row r="56" spans="1:5" ht="25.5" x14ac:dyDescent="0.2">
      <c r="A56" s="28" t="s">
        <v>168</v>
      </c>
      <c r="B56" s="85">
        <v>34.18</v>
      </c>
      <c r="C56" s="26" t="str">
        <f>B56 &amp; " * 22"</f>
        <v>34,18 * 22</v>
      </c>
      <c r="D56" s="73">
        <f>TRUNC(B56*22,2)</f>
        <v>751.96</v>
      </c>
      <c r="E56" s="27" t="s">
        <v>185</v>
      </c>
    </row>
    <row r="57" spans="1:5" ht="25.5" x14ac:dyDescent="0.2">
      <c r="A57" s="28" t="s">
        <v>85</v>
      </c>
      <c r="B57" s="85">
        <v>5.25</v>
      </c>
      <c r="C57" s="26" t="str">
        <f>B57&amp; " * 4 * 22"</f>
        <v>5,25 * 4 * 22</v>
      </c>
      <c r="D57" s="73">
        <f>TRUNC(B57*22*4,2)</f>
        <v>462</v>
      </c>
      <c r="E57" s="27" t="s">
        <v>186</v>
      </c>
    </row>
    <row r="58" spans="1:5" ht="17.25" customHeight="1" x14ac:dyDescent="0.2">
      <c r="A58" s="28" t="s">
        <v>86</v>
      </c>
      <c r="B58" s="85">
        <f>D58</f>
        <v>-462</v>
      </c>
      <c r="C58" s="26" t="s">
        <v>65</v>
      </c>
      <c r="D58" s="73">
        <f>IF(D57&gt;=TRUNC(0.06*D7,2),TRUNC(-0.06*D7,2),-D57)</f>
        <v>-462</v>
      </c>
      <c r="E58" s="62" t="s">
        <v>90</v>
      </c>
    </row>
    <row r="59" spans="1:5" ht="17.25" customHeight="1" x14ac:dyDescent="0.2">
      <c r="A59" s="28" t="s">
        <v>75</v>
      </c>
      <c r="B59" s="85">
        <f>'Quadro Resumo'!B26</f>
        <v>0</v>
      </c>
      <c r="C59" s="26" t="str">
        <f>B59 &amp; " * 3"</f>
        <v>0 * 3</v>
      </c>
      <c r="D59" s="73">
        <f>ROUND(B59*3,2)</f>
        <v>0</v>
      </c>
      <c r="E59" s="132" t="s">
        <v>166</v>
      </c>
    </row>
    <row r="60" spans="1:5" ht="17.25" customHeight="1" x14ac:dyDescent="0.2">
      <c r="A60" s="68" t="s">
        <v>126</v>
      </c>
      <c r="B60" s="136">
        <f>'Quadro Resumo'!B27</f>
        <v>0</v>
      </c>
      <c r="C60" s="58" t="str">
        <f>B60&amp;" * 3/12"</f>
        <v>0 * 3/12</v>
      </c>
      <c r="D60" s="75">
        <f>ROUND(B60*3/12,2)</f>
        <v>0</v>
      </c>
      <c r="E60" s="137" t="s">
        <v>166</v>
      </c>
    </row>
    <row r="61" spans="1:5" ht="33.75" customHeight="1" x14ac:dyDescent="0.2">
      <c r="A61" s="138" t="s">
        <v>178</v>
      </c>
      <c r="B61" s="133">
        <f>ROUNDUP('CUSTOS DE VALOR SUBJETIVO'!B9/12,2)</f>
        <v>0</v>
      </c>
      <c r="C61" s="30" t="s">
        <v>135</v>
      </c>
      <c r="D61" s="73">
        <f>B61</f>
        <v>0</v>
      </c>
      <c r="E61" s="132" t="s">
        <v>179</v>
      </c>
    </row>
    <row r="62" spans="1:5" ht="31.5" customHeight="1" x14ac:dyDescent="0.2">
      <c r="A62" s="29" t="s">
        <v>130</v>
      </c>
      <c r="B62" s="85">
        <f>ROUNDUP('CUSTOS DE VALOR SUBJETIVO'!B17/12,2)</f>
        <v>0</v>
      </c>
      <c r="C62" s="58" t="s">
        <v>135</v>
      </c>
      <c r="D62" s="75">
        <f>B62</f>
        <v>0</v>
      </c>
      <c r="E62" s="82" t="s">
        <v>94</v>
      </c>
    </row>
    <row r="63" spans="1:5" ht="17.25" customHeight="1" thickBot="1" x14ac:dyDescent="0.25">
      <c r="A63" s="4" t="s">
        <v>96</v>
      </c>
      <c r="B63" s="86"/>
      <c r="C63" s="5" t="s">
        <v>20</v>
      </c>
      <c r="D63" s="74">
        <f>SUM(D56:D62)</f>
        <v>751.96</v>
      </c>
      <c r="E63" s="7" t="s">
        <v>12</v>
      </c>
    </row>
    <row r="64" spans="1:5" x14ac:dyDescent="0.2">
      <c r="A64" s="175" t="s">
        <v>167</v>
      </c>
      <c r="B64" s="176"/>
      <c r="C64" s="176"/>
      <c r="D64" s="176"/>
      <c r="E64" s="176"/>
    </row>
    <row r="65" spans="1:5" ht="13.5" thickBot="1" x14ac:dyDescent="0.25">
      <c r="A65" s="177"/>
      <c r="B65" s="177"/>
      <c r="C65" s="177"/>
      <c r="D65" s="177"/>
      <c r="E65" s="177"/>
    </row>
    <row r="66" spans="1:5" ht="30.75" customHeight="1" thickBot="1" x14ac:dyDescent="0.25">
      <c r="A66" s="12" t="s">
        <v>66</v>
      </c>
      <c r="B66" s="9" t="s">
        <v>12</v>
      </c>
      <c r="C66" s="9" t="s">
        <v>67</v>
      </c>
      <c r="D66" s="32">
        <f>SUM(D8,D52,D63)</f>
        <v>16066.779999999999</v>
      </c>
      <c r="E66" s="11" t="s">
        <v>12</v>
      </c>
    </row>
    <row r="67" spans="1:5" ht="13.5" thickBot="1" x14ac:dyDescent="0.25">
      <c r="A67" s="63"/>
      <c r="B67" s="64"/>
      <c r="C67" s="64"/>
      <c r="D67" s="65"/>
      <c r="E67" s="66"/>
    </row>
    <row r="68" spans="1:5" ht="17.25" customHeight="1" x14ac:dyDescent="0.2">
      <c r="A68" s="3" t="s">
        <v>119</v>
      </c>
      <c r="B68" s="1" t="s">
        <v>23</v>
      </c>
      <c r="C68" s="1" t="s">
        <v>16</v>
      </c>
      <c r="D68" s="23" t="s">
        <v>11</v>
      </c>
      <c r="E68" s="2" t="s">
        <v>17</v>
      </c>
    </row>
    <row r="69" spans="1:5" ht="17.25" customHeight="1" x14ac:dyDescent="0.2">
      <c r="A69" s="28" t="s">
        <v>98</v>
      </c>
      <c r="B69" s="69">
        <f>'Quadro Resumo'!B21</f>
        <v>0</v>
      </c>
      <c r="C69" s="134" t="s">
        <v>12</v>
      </c>
      <c r="D69" s="83">
        <f>TRUNC(B69*D66,2)</f>
        <v>0</v>
      </c>
      <c r="E69" s="40" t="s">
        <v>12</v>
      </c>
    </row>
    <row r="70" spans="1:5" ht="30.75" customHeight="1" x14ac:dyDescent="0.2">
      <c r="A70" s="28" t="s">
        <v>6</v>
      </c>
      <c r="B70" s="69">
        <f>'Quadro Resumo'!B22</f>
        <v>0</v>
      </c>
      <c r="C70" s="26" t="s">
        <v>135</v>
      </c>
      <c r="D70" s="83">
        <f>TRUNC(B70*D66,2)</f>
        <v>0</v>
      </c>
      <c r="E70" s="27" t="s">
        <v>136</v>
      </c>
    </row>
    <row r="71" spans="1:5" ht="16.5" customHeight="1" thickBot="1" x14ac:dyDescent="0.25">
      <c r="A71" s="4" t="s">
        <v>68</v>
      </c>
      <c r="B71" s="33">
        <f>SUM(B69:B70)</f>
        <v>0</v>
      </c>
      <c r="C71" s="5" t="s">
        <v>20</v>
      </c>
      <c r="D71" s="72">
        <f>SUM(D69:D70)</f>
        <v>0</v>
      </c>
      <c r="E71" s="7" t="s">
        <v>12</v>
      </c>
    </row>
    <row r="72" spans="1:5" ht="24" customHeight="1" thickBot="1" x14ac:dyDescent="0.25">
      <c r="A72" s="99"/>
      <c r="B72" s="78"/>
      <c r="C72" s="78"/>
      <c r="D72" s="39"/>
      <c r="E72" s="78"/>
    </row>
    <row r="73" spans="1:5" ht="16.5" customHeight="1" x14ac:dyDescent="0.2">
      <c r="A73" s="13" t="s">
        <v>69</v>
      </c>
      <c r="B73" s="1" t="s">
        <v>23</v>
      </c>
      <c r="C73" s="1" t="s">
        <v>16</v>
      </c>
      <c r="D73" s="23" t="s">
        <v>11</v>
      </c>
      <c r="E73" s="2" t="s">
        <v>17</v>
      </c>
    </row>
    <row r="74" spans="1:5" ht="16.5" customHeight="1" x14ac:dyDescent="0.2">
      <c r="A74" s="28" t="s">
        <v>7</v>
      </c>
      <c r="B74" s="69">
        <f>'Quadro Resumo'!B34</f>
        <v>0</v>
      </c>
      <c r="C74" s="171" t="s">
        <v>97</v>
      </c>
      <c r="D74" s="73">
        <f>TRUNC((($D$66+$D$71)/(1-(($B$74+$B$75+$B$76))))*(B74),2)</f>
        <v>0</v>
      </c>
      <c r="E74" s="62" t="s">
        <v>93</v>
      </c>
    </row>
    <row r="75" spans="1:5" ht="16.5" customHeight="1" x14ac:dyDescent="0.2">
      <c r="A75" s="28" t="s">
        <v>8</v>
      </c>
      <c r="B75" s="69">
        <f>'Quadro Resumo'!B35</f>
        <v>0</v>
      </c>
      <c r="C75" s="172"/>
      <c r="D75" s="73">
        <f>TRUNC((($D$66+$D$71)/(1-(($B$74+$B$75+$B$76))))*(B75),2)</f>
        <v>0</v>
      </c>
      <c r="E75" s="27" t="s">
        <v>92</v>
      </c>
    </row>
    <row r="76" spans="1:5" ht="16.5" customHeight="1" x14ac:dyDescent="0.2">
      <c r="A76" s="28" t="s">
        <v>9</v>
      </c>
      <c r="B76" s="69">
        <f>'Quadro Resumo'!B36</f>
        <v>0</v>
      </c>
      <c r="C76" s="172"/>
      <c r="D76" s="73">
        <f>TRUNC((($D$66+$D$71)/(1-(($B$74+$B$75+$B$76))))*(B76),2)</f>
        <v>0</v>
      </c>
      <c r="E76" s="62" t="s">
        <v>91</v>
      </c>
    </row>
    <row r="77" spans="1:5" ht="16.5" customHeight="1" thickBot="1" x14ac:dyDescent="0.25">
      <c r="A77" s="4" t="s">
        <v>70</v>
      </c>
      <c r="B77" s="33">
        <f>SUM(B74:B76)</f>
        <v>0</v>
      </c>
      <c r="C77" s="5" t="s">
        <v>20</v>
      </c>
      <c r="D77" s="74">
        <f>SUM(D74:D76)</f>
        <v>0</v>
      </c>
      <c r="E77" s="7" t="s">
        <v>12</v>
      </c>
    </row>
    <row r="78" spans="1:5" ht="13.5" thickBot="1" x14ac:dyDescent="0.25">
      <c r="A78" s="68"/>
      <c r="B78" s="78"/>
      <c r="C78" s="78"/>
      <c r="D78" s="39"/>
      <c r="E78" s="78"/>
    </row>
    <row r="79" spans="1:5" ht="16.5" customHeight="1" thickBot="1" x14ac:dyDescent="0.25">
      <c r="A79" s="14" t="s">
        <v>71</v>
      </c>
      <c r="B79" s="15" t="s">
        <v>12</v>
      </c>
      <c r="C79" s="1" t="s">
        <v>16</v>
      </c>
      <c r="D79" s="24" t="s">
        <v>72</v>
      </c>
      <c r="E79" s="2" t="s">
        <v>73</v>
      </c>
    </row>
    <row r="80" spans="1:5" ht="16.5" customHeight="1" thickBot="1" x14ac:dyDescent="0.25">
      <c r="A80" s="16"/>
      <c r="B80" s="17" t="s">
        <v>12</v>
      </c>
      <c r="C80" s="17" t="s">
        <v>74</v>
      </c>
      <c r="D80" s="94">
        <f>TRUNC(SUM(D66,D71,D77),2)</f>
        <v>16066.78</v>
      </c>
      <c r="E80" s="31">
        <f>D80*12</f>
        <v>192801.36000000002</v>
      </c>
    </row>
    <row r="81" spans="1:5" ht="13.5" thickBot="1" x14ac:dyDescent="0.25">
      <c r="A81" s="34"/>
      <c r="B81" s="34"/>
      <c r="C81" s="34"/>
      <c r="D81" s="67"/>
      <c r="E81" s="34"/>
    </row>
    <row r="82" spans="1:5" x14ac:dyDescent="0.2">
      <c r="A82" s="14" t="s">
        <v>171</v>
      </c>
      <c r="B82" s="135" t="s">
        <v>12</v>
      </c>
      <c r="C82" s="141" t="s">
        <v>16</v>
      </c>
      <c r="D82" s="24" t="s">
        <v>11</v>
      </c>
      <c r="E82" s="142" t="s">
        <v>173</v>
      </c>
    </row>
    <row r="83" spans="1:5" ht="20.25" customHeight="1" x14ac:dyDescent="0.2">
      <c r="A83" s="28" t="s">
        <v>172</v>
      </c>
      <c r="B83" s="73">
        <f>E80</f>
        <v>192801.36000000002</v>
      </c>
      <c r="C83" s="143" t="s">
        <v>202</v>
      </c>
      <c r="D83" s="144">
        <f>B83*5</f>
        <v>964006.8</v>
      </c>
      <c r="E83" s="167">
        <f>D83+D84</f>
        <v>964006.8</v>
      </c>
    </row>
    <row r="84" spans="1:5" ht="27.75" customHeight="1" thickBot="1" x14ac:dyDescent="0.25">
      <c r="A84" s="145" t="s">
        <v>203</v>
      </c>
      <c r="B84" s="70">
        <f>'Quadro Resumo'!C17</f>
        <v>0</v>
      </c>
      <c r="C84" s="37" t="s">
        <v>204</v>
      </c>
      <c r="D84" s="146">
        <f>'Quadro Resumo'!C17</f>
        <v>0</v>
      </c>
      <c r="E84" s="168"/>
    </row>
  </sheetData>
  <sheetProtection algorithmName="SHA-512" hashValue="4LtMnEM8PC2qSUL7IoH5ae4mKUpuyNmkODjbEtVe2KgHeQTkgTeHzSb4d7fRqoKUK273Hvb4CMT6Yj2/Oe5HIQ==" saltValue="4HY+fSGVu5ORvpchRi1xiQ==" spinCount="100000" sheet="1" objects="1" scenarios="1"/>
  <mergeCells count="11">
    <mergeCell ref="E83:E84"/>
    <mergeCell ref="B51:E51"/>
    <mergeCell ref="A54:E54"/>
    <mergeCell ref="A64:E65"/>
    <mergeCell ref="C74:C76"/>
    <mergeCell ref="B50:E50"/>
    <mergeCell ref="A1:E1"/>
    <mergeCell ref="A3:C3"/>
    <mergeCell ref="A10:E10"/>
    <mergeCell ref="D40:E40"/>
    <mergeCell ref="B41:D41"/>
  </mergeCells>
  <conditionalFormatting sqref="B62">
    <cfRule type="expression" dxfId="1" priority="1">
      <formula>ISBLANK($B$62)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BE685-1BCD-494C-9E9A-8DE028762190}">
  <sheetPr>
    <tabColor theme="8" tint="-0.249977111117893"/>
  </sheetPr>
  <dimension ref="A1:E84"/>
  <sheetViews>
    <sheetView zoomScale="90" zoomScaleNormal="90" workbookViewId="0">
      <selection activeCell="D57" sqref="D57"/>
    </sheetView>
  </sheetViews>
  <sheetFormatPr defaultColWidth="9.140625" defaultRowHeight="12.75" x14ac:dyDescent="0.2"/>
  <cols>
    <col min="1" max="1" width="70.140625" style="21" customWidth="1"/>
    <col min="2" max="2" width="15.140625" style="21" customWidth="1"/>
    <col min="3" max="3" width="64.5703125" style="21" customWidth="1"/>
    <col min="4" max="4" width="15.7109375" style="25" bestFit="1" customWidth="1"/>
    <col min="5" max="5" width="57.85546875" style="21" customWidth="1"/>
    <col min="6" max="6" width="1.7109375" style="21" customWidth="1"/>
    <col min="7" max="16384" width="9.140625" style="21"/>
  </cols>
  <sheetData>
    <row r="1" spans="1:5" ht="20.25" thickBot="1" x14ac:dyDescent="0.25">
      <c r="A1" s="152" t="str">
        <f>"PLANILHA DE COMPOSIÇÃO DE CUSTOS E FORMAÇÃO DE PREÇOS - " &amp; 'Quadro Resumo'!A13</f>
        <v>PLANILHA DE COMPOSIÇÃO DE CUSTOS E FORMAÇÃO DE PREÇOS - Encarregado de fiscalização</v>
      </c>
      <c r="B1" s="153"/>
      <c r="C1" s="153"/>
      <c r="D1" s="153"/>
      <c r="E1" s="154"/>
    </row>
    <row r="2" spans="1:5" ht="20.25" thickBot="1" x14ac:dyDescent="0.25">
      <c r="A2" s="18"/>
      <c r="B2" s="19"/>
      <c r="C2" s="19"/>
      <c r="D2" s="22"/>
      <c r="E2" s="20"/>
    </row>
    <row r="3" spans="1:5" ht="17.25" customHeight="1" x14ac:dyDescent="0.2">
      <c r="A3" s="162" t="s">
        <v>155</v>
      </c>
      <c r="B3" s="163"/>
      <c r="C3" s="164"/>
      <c r="D3" s="1" t="s">
        <v>11</v>
      </c>
      <c r="E3" s="1" t="s">
        <v>12</v>
      </c>
    </row>
    <row r="4" spans="1:5" ht="17.25" customHeight="1" thickBot="1" x14ac:dyDescent="0.25">
      <c r="A4" s="35" t="str">
        <f>'Quadro Resumo'!A13</f>
        <v>Encarregado de fiscalização</v>
      </c>
      <c r="B4" s="37"/>
      <c r="C4" s="37" t="s">
        <v>13</v>
      </c>
      <c r="D4" s="70">
        <f>'Quadro Resumo'!B13</f>
        <v>9000</v>
      </c>
      <c r="E4" s="38" t="s">
        <v>12</v>
      </c>
    </row>
    <row r="5" spans="1:5" ht="13.5" thickBot="1" x14ac:dyDescent="0.25">
      <c r="A5" s="68"/>
      <c r="B5" s="78"/>
      <c r="C5" s="78"/>
      <c r="D5" s="39"/>
      <c r="E5" s="78"/>
    </row>
    <row r="6" spans="1:5" ht="17.25" customHeight="1" x14ac:dyDescent="0.2">
      <c r="A6" s="3" t="s">
        <v>14</v>
      </c>
      <c r="B6" s="1" t="s">
        <v>15</v>
      </c>
      <c r="C6" s="1" t="s">
        <v>16</v>
      </c>
      <c r="D6" s="23" t="s">
        <v>11</v>
      </c>
      <c r="E6" s="2" t="s">
        <v>17</v>
      </c>
    </row>
    <row r="7" spans="1:5" ht="17.25" customHeight="1" x14ac:dyDescent="0.2">
      <c r="A7" s="28" t="s">
        <v>18</v>
      </c>
      <c r="B7" s="58" t="s">
        <v>12</v>
      </c>
      <c r="C7" s="26" t="s">
        <v>12</v>
      </c>
      <c r="D7" s="71">
        <f>TRUNC(D4,2)</f>
        <v>9000</v>
      </c>
      <c r="E7" s="40"/>
    </row>
    <row r="8" spans="1:5" ht="16.5" customHeight="1" thickBot="1" x14ac:dyDescent="0.25">
      <c r="A8" s="4" t="s">
        <v>19</v>
      </c>
      <c r="B8" s="5" t="s">
        <v>12</v>
      </c>
      <c r="C8" s="6" t="s">
        <v>20</v>
      </c>
      <c r="D8" s="72">
        <f>SUM(D7:D7)</f>
        <v>9000</v>
      </c>
      <c r="E8" s="7" t="s">
        <v>12</v>
      </c>
    </row>
    <row r="9" spans="1:5" ht="13.5" customHeight="1" thickBot="1" x14ac:dyDescent="0.25">
      <c r="A9" s="41"/>
      <c r="B9" s="42"/>
      <c r="C9" s="43"/>
      <c r="D9" s="39"/>
      <c r="E9" s="78"/>
    </row>
    <row r="10" spans="1:5" ht="16.5" customHeight="1" thickBot="1" x14ac:dyDescent="0.25">
      <c r="A10" s="155" t="s">
        <v>21</v>
      </c>
      <c r="B10" s="156"/>
      <c r="C10" s="156"/>
      <c r="D10" s="156"/>
      <c r="E10" s="157"/>
    </row>
    <row r="11" spans="1:5" ht="16.5" customHeight="1" x14ac:dyDescent="0.2">
      <c r="A11" s="3" t="s">
        <v>22</v>
      </c>
      <c r="B11" s="1" t="s">
        <v>23</v>
      </c>
      <c r="C11" s="1" t="s">
        <v>16</v>
      </c>
      <c r="D11" s="23" t="s">
        <v>11</v>
      </c>
      <c r="E11" s="2" t="s">
        <v>17</v>
      </c>
    </row>
    <row r="12" spans="1:5" ht="16.5" customHeight="1" x14ac:dyDescent="0.2">
      <c r="A12" s="28" t="s">
        <v>24</v>
      </c>
      <c r="B12" s="44">
        <v>0.2</v>
      </c>
      <c r="C12" s="26" t="s">
        <v>25</v>
      </c>
      <c r="D12" s="73">
        <f>TRUNC(B12*$D$8,2)</f>
        <v>1800</v>
      </c>
      <c r="E12" s="45" t="s">
        <v>26</v>
      </c>
    </row>
    <row r="13" spans="1:5" ht="16.5" customHeight="1" x14ac:dyDescent="0.2">
      <c r="A13" s="28" t="s">
        <v>27</v>
      </c>
      <c r="B13" s="44">
        <v>0.08</v>
      </c>
      <c r="C13" s="26" t="s">
        <v>28</v>
      </c>
      <c r="D13" s="73">
        <f t="shared" ref="D13:D19" si="0">TRUNC(B13*$D$8,2)</f>
        <v>720</v>
      </c>
      <c r="E13" s="46" t="s">
        <v>164</v>
      </c>
    </row>
    <row r="14" spans="1:5" ht="17.25" customHeight="1" x14ac:dyDescent="0.2">
      <c r="A14" s="28" t="s">
        <v>29</v>
      </c>
      <c r="B14" s="44">
        <v>1.4999999999999999E-2</v>
      </c>
      <c r="C14" s="26" t="s">
        <v>30</v>
      </c>
      <c r="D14" s="73">
        <f t="shared" si="0"/>
        <v>135</v>
      </c>
      <c r="E14" s="46" t="s">
        <v>31</v>
      </c>
    </row>
    <row r="15" spans="1:5" ht="17.25" customHeight="1" x14ac:dyDescent="0.2">
      <c r="A15" s="28" t="s">
        <v>32</v>
      </c>
      <c r="B15" s="44">
        <v>0.01</v>
      </c>
      <c r="C15" s="26" t="s">
        <v>33</v>
      </c>
      <c r="D15" s="73">
        <f t="shared" si="0"/>
        <v>90</v>
      </c>
      <c r="E15" s="46" t="s">
        <v>34</v>
      </c>
    </row>
    <row r="16" spans="1:5" ht="17.25" customHeight="1" x14ac:dyDescent="0.2">
      <c r="A16" s="28" t="s">
        <v>35</v>
      </c>
      <c r="B16" s="44">
        <v>2E-3</v>
      </c>
      <c r="C16" s="26" t="s">
        <v>36</v>
      </c>
      <c r="D16" s="73">
        <f t="shared" si="0"/>
        <v>18</v>
      </c>
      <c r="E16" s="46" t="s">
        <v>37</v>
      </c>
    </row>
    <row r="17" spans="1:5" ht="17.25" customHeight="1" x14ac:dyDescent="0.2">
      <c r="A17" s="28" t="s">
        <v>38</v>
      </c>
      <c r="B17" s="44">
        <v>6.0000000000000001E-3</v>
      </c>
      <c r="C17" s="26" t="s">
        <v>39</v>
      </c>
      <c r="D17" s="73">
        <f t="shared" si="0"/>
        <v>54</v>
      </c>
      <c r="E17" s="46" t="s">
        <v>40</v>
      </c>
    </row>
    <row r="18" spans="1:5" ht="17.25" customHeight="1" x14ac:dyDescent="0.2">
      <c r="A18" s="28" t="s">
        <v>41</v>
      </c>
      <c r="B18" s="44">
        <v>2.5000000000000001E-2</v>
      </c>
      <c r="C18" s="26" t="s">
        <v>42</v>
      </c>
      <c r="D18" s="73">
        <f t="shared" si="0"/>
        <v>225</v>
      </c>
      <c r="E18" s="46" t="s">
        <v>43</v>
      </c>
    </row>
    <row r="19" spans="1:5" ht="17.25" customHeight="1" x14ac:dyDescent="0.2">
      <c r="A19" s="47" t="s">
        <v>44</v>
      </c>
      <c r="B19" s="69">
        <f>'Quadro Resumo'!B31</f>
        <v>0</v>
      </c>
      <c r="C19" s="26" t="s">
        <v>45</v>
      </c>
      <c r="D19" s="73">
        <f t="shared" si="0"/>
        <v>0</v>
      </c>
      <c r="E19" s="46" t="s">
        <v>162</v>
      </c>
    </row>
    <row r="20" spans="1:5" ht="17.25" customHeight="1" thickBot="1" x14ac:dyDescent="0.25">
      <c r="A20" s="4" t="s">
        <v>46</v>
      </c>
      <c r="B20" s="33">
        <f>SUM(B12:B19)</f>
        <v>0.33800000000000008</v>
      </c>
      <c r="C20" s="5" t="s">
        <v>20</v>
      </c>
      <c r="D20" s="74">
        <f>SUM(D12:D19)</f>
        <v>3042</v>
      </c>
      <c r="E20" s="7" t="s">
        <v>12</v>
      </c>
    </row>
    <row r="21" spans="1:5" ht="13.5" thickBot="1" x14ac:dyDescent="0.25">
      <c r="A21" s="68"/>
      <c r="B21" s="78"/>
      <c r="C21" s="78"/>
      <c r="D21" s="39"/>
      <c r="E21" s="48"/>
    </row>
    <row r="22" spans="1:5" ht="15.75" customHeight="1" x14ac:dyDescent="0.2">
      <c r="A22" s="3" t="s">
        <v>82</v>
      </c>
      <c r="B22" s="1" t="s">
        <v>23</v>
      </c>
      <c r="C22" s="1" t="s">
        <v>16</v>
      </c>
      <c r="D22" s="23" t="s">
        <v>11</v>
      </c>
      <c r="E22" s="2" t="s">
        <v>17</v>
      </c>
    </row>
    <row r="23" spans="1:5" ht="15.75" customHeight="1" x14ac:dyDescent="0.2">
      <c r="A23" s="28" t="s">
        <v>47</v>
      </c>
      <c r="B23" s="44">
        <f>(1/12)</f>
        <v>8.3333333333333329E-2</v>
      </c>
      <c r="C23" s="26" t="s">
        <v>88</v>
      </c>
      <c r="D23" s="73">
        <f>TRUNC(B23*$D$8,2)</f>
        <v>750</v>
      </c>
      <c r="E23" s="46" t="s">
        <v>48</v>
      </c>
    </row>
    <row r="24" spans="1:5" ht="15.75" customHeight="1" x14ac:dyDescent="0.2">
      <c r="A24" s="29" t="s">
        <v>80</v>
      </c>
      <c r="B24" s="49">
        <f>B20*B23</f>
        <v>2.8166666666666673E-2</v>
      </c>
      <c r="C24" s="58" t="s">
        <v>89</v>
      </c>
      <c r="D24" s="73">
        <f>TRUNC(B24*$D$8,2)</f>
        <v>253.5</v>
      </c>
      <c r="E24" s="62" t="s">
        <v>163</v>
      </c>
    </row>
    <row r="25" spans="1:5" ht="16.5" customHeight="1" thickBot="1" x14ac:dyDescent="0.25">
      <c r="A25" s="4" t="s">
        <v>49</v>
      </c>
      <c r="B25" s="33">
        <f>SUM(B23:B24)</f>
        <v>0.1115</v>
      </c>
      <c r="C25" s="5" t="s">
        <v>20</v>
      </c>
      <c r="D25" s="74">
        <f>SUM(D23:D24)</f>
        <v>1003.5</v>
      </c>
      <c r="E25" s="7" t="s">
        <v>12</v>
      </c>
    </row>
    <row r="26" spans="1:5" ht="13.5" thickBot="1" x14ac:dyDescent="0.25">
      <c r="A26" s="50"/>
      <c r="B26" s="51"/>
      <c r="C26" s="51"/>
      <c r="D26" s="52"/>
      <c r="E26" s="53"/>
    </row>
    <row r="27" spans="1:5" ht="17.25" customHeight="1" x14ac:dyDescent="0.2">
      <c r="A27" s="3" t="s">
        <v>50</v>
      </c>
      <c r="B27" s="1" t="s">
        <v>23</v>
      </c>
      <c r="C27" s="1" t="s">
        <v>16</v>
      </c>
      <c r="D27" s="23" t="s">
        <v>11</v>
      </c>
      <c r="E27" s="2" t="s">
        <v>17</v>
      </c>
    </row>
    <row r="28" spans="1:5" ht="16.5" customHeight="1" x14ac:dyDescent="0.2">
      <c r="A28" s="28" t="s">
        <v>51</v>
      </c>
      <c r="B28" s="44">
        <f>1/12</f>
        <v>8.3333333333333329E-2</v>
      </c>
      <c r="C28" s="26" t="s">
        <v>88</v>
      </c>
      <c r="D28" s="73">
        <f t="shared" ref="D28:D34" si="1">TRUNC(B28*$D$8,2)</f>
        <v>750</v>
      </c>
      <c r="E28" s="46" t="s">
        <v>79</v>
      </c>
    </row>
    <row r="29" spans="1:5" ht="16.5" customHeight="1" x14ac:dyDescent="0.2">
      <c r="A29" s="28" t="s">
        <v>81</v>
      </c>
      <c r="B29" s="54">
        <f>(1/3)/12</f>
        <v>2.7777777777777776E-2</v>
      </c>
      <c r="C29" s="26" t="s">
        <v>95</v>
      </c>
      <c r="D29" s="73">
        <f t="shared" si="1"/>
        <v>250</v>
      </c>
      <c r="E29" s="46" t="s">
        <v>79</v>
      </c>
    </row>
    <row r="30" spans="1:5" ht="27.75" customHeight="1" x14ac:dyDescent="0.2">
      <c r="A30" s="28" t="s">
        <v>106</v>
      </c>
      <c r="B30" s="69">
        <f>D30/D8</f>
        <v>6.9622222222222221E-3</v>
      </c>
      <c r="C30" s="80" t="s">
        <v>150</v>
      </c>
      <c r="D30" s="71">
        <f>TRUNC((D63-(D57+D58))/12,2)</f>
        <v>62.66</v>
      </c>
      <c r="E30" s="46" t="s">
        <v>105</v>
      </c>
    </row>
    <row r="31" spans="1:5" ht="16.5" customHeight="1" x14ac:dyDescent="0.2">
      <c r="A31" s="28" t="s">
        <v>107</v>
      </c>
      <c r="B31" s="44">
        <f>(5.96/30)/12</f>
        <v>1.6555555555555556E-2</v>
      </c>
      <c r="C31" s="26" t="s">
        <v>99</v>
      </c>
      <c r="D31" s="73">
        <f t="shared" si="1"/>
        <v>149</v>
      </c>
      <c r="E31" s="46" t="s">
        <v>157</v>
      </c>
    </row>
    <row r="32" spans="1:5" ht="16.5" customHeight="1" x14ac:dyDescent="0.2">
      <c r="A32" s="28" t="s">
        <v>111</v>
      </c>
      <c r="B32" s="44">
        <f>(((15/30)/12)*0.00743)</f>
        <v>3.0958333333333331E-4</v>
      </c>
      <c r="C32" s="55" t="s">
        <v>201</v>
      </c>
      <c r="D32" s="73">
        <f t="shared" si="1"/>
        <v>2.78</v>
      </c>
      <c r="E32" s="46" t="s">
        <v>52</v>
      </c>
    </row>
    <row r="33" spans="1:5" ht="16.5" customHeight="1" x14ac:dyDescent="0.2">
      <c r="A33" s="28" t="s">
        <v>112</v>
      </c>
      <c r="B33" s="44">
        <f>(2.96/30)/12</f>
        <v>8.2222222222222228E-3</v>
      </c>
      <c r="C33" s="36" t="s">
        <v>101</v>
      </c>
      <c r="D33" s="73">
        <f t="shared" si="1"/>
        <v>74</v>
      </c>
      <c r="E33" s="46" t="s">
        <v>53</v>
      </c>
    </row>
    <row r="34" spans="1:5" ht="16.5" customHeight="1" x14ac:dyDescent="0.2">
      <c r="A34" s="28" t="s">
        <v>113</v>
      </c>
      <c r="B34" s="44">
        <f>((5/30)/12)*0.557*0.01092</f>
        <v>8.447833333333332E-5</v>
      </c>
      <c r="C34" s="30" t="s">
        <v>197</v>
      </c>
      <c r="D34" s="73">
        <f t="shared" si="1"/>
        <v>0.76</v>
      </c>
      <c r="E34" s="46" t="s">
        <v>156</v>
      </c>
    </row>
    <row r="35" spans="1:5" ht="16.5" customHeight="1" x14ac:dyDescent="0.2">
      <c r="A35" s="28" t="s">
        <v>114</v>
      </c>
      <c r="B35" s="56">
        <f>((7/30)/12)*0.9445</f>
        <v>1.8365277777777779E-2</v>
      </c>
      <c r="C35" s="80" t="s">
        <v>144</v>
      </c>
      <c r="D35" s="73">
        <f>TRUNC(B35*$D$8,2)</f>
        <v>165.28</v>
      </c>
      <c r="E35" s="62" t="s">
        <v>61</v>
      </c>
    </row>
    <row r="36" spans="1:5" ht="24" x14ac:dyDescent="0.2">
      <c r="A36" s="28" t="s">
        <v>115</v>
      </c>
      <c r="B36" s="56">
        <f>D36/D8</f>
        <v>3.1333333333333332E-4</v>
      </c>
      <c r="C36" s="80" t="s">
        <v>198</v>
      </c>
      <c r="D36" s="71">
        <f>TRUNC((((D8*(1+(1/3)))/12)+(D63-(D57+D58)))*(4/12)*0.01092*0.443,2)</f>
        <v>2.82</v>
      </c>
      <c r="E36" s="46" t="s">
        <v>79</v>
      </c>
    </row>
    <row r="37" spans="1:5" ht="29.25" customHeight="1" x14ac:dyDescent="0.2">
      <c r="A37" s="47" t="s">
        <v>116</v>
      </c>
      <c r="B37" s="44">
        <f>B20*SUM(B28,B29,B31,B32,B33,B34,B35)</f>
        <v>5.2271101176666668E-2</v>
      </c>
      <c r="C37" s="80" t="s">
        <v>124</v>
      </c>
      <c r="D37" s="73">
        <f>TRUNC(B37*$D$8,2)</f>
        <v>470.43</v>
      </c>
      <c r="E37" s="62" t="s">
        <v>83</v>
      </c>
    </row>
    <row r="38" spans="1:5" ht="25.5" x14ac:dyDescent="0.2">
      <c r="A38" s="47" t="s">
        <v>118</v>
      </c>
      <c r="B38" s="56">
        <f>B20*B36</f>
        <v>1.0590666666666669E-4</v>
      </c>
      <c r="C38" s="30" t="s">
        <v>120</v>
      </c>
      <c r="D38" s="73">
        <f>TRUNC(B38*$D$8,2)</f>
        <v>0.95</v>
      </c>
      <c r="E38" s="46" t="s">
        <v>165</v>
      </c>
    </row>
    <row r="39" spans="1:5" ht="16.5" customHeight="1" thickBot="1" x14ac:dyDescent="0.25">
      <c r="A39" s="4" t="s">
        <v>55</v>
      </c>
      <c r="B39" s="33">
        <f>SUM(B28:B38)</f>
        <v>0.21430079173222219</v>
      </c>
      <c r="C39" s="5" t="s">
        <v>20</v>
      </c>
      <c r="D39" s="89">
        <f>SUM(D28:D38)</f>
        <v>1928.68</v>
      </c>
      <c r="E39" s="7" t="s">
        <v>12</v>
      </c>
    </row>
    <row r="40" spans="1:5" ht="27.75" customHeight="1" x14ac:dyDescent="0.2">
      <c r="A40" s="100" t="s">
        <v>117</v>
      </c>
      <c r="B40" s="100" t="s">
        <v>109</v>
      </c>
      <c r="D40" s="179" t="s">
        <v>194</v>
      </c>
      <c r="E40" s="166"/>
    </row>
    <row r="41" spans="1:5" ht="16.5" customHeight="1" x14ac:dyDescent="0.2">
      <c r="A41" s="100" t="s">
        <v>108</v>
      </c>
      <c r="B41" s="173" t="s">
        <v>196</v>
      </c>
      <c r="C41" s="161"/>
      <c r="D41" s="151"/>
      <c r="E41" s="45"/>
    </row>
    <row r="42" spans="1:5" ht="16.5" customHeight="1" thickBot="1" x14ac:dyDescent="0.25">
      <c r="A42" s="140" t="s">
        <v>200</v>
      </c>
      <c r="B42" s="93" t="s">
        <v>110</v>
      </c>
      <c r="C42" s="34"/>
      <c r="D42" s="97"/>
      <c r="E42" s="98"/>
    </row>
    <row r="43" spans="1:5" ht="16.5" customHeight="1" x14ac:dyDescent="0.2">
      <c r="A43" s="3" t="s">
        <v>56</v>
      </c>
      <c r="B43" s="1" t="s">
        <v>23</v>
      </c>
      <c r="C43" s="1" t="s">
        <v>16</v>
      </c>
      <c r="D43" s="23" t="s">
        <v>11</v>
      </c>
      <c r="E43" s="2" t="s">
        <v>17</v>
      </c>
    </row>
    <row r="44" spans="1:5" ht="16.5" customHeight="1" x14ac:dyDescent="0.2">
      <c r="A44" s="29" t="s">
        <v>57</v>
      </c>
      <c r="B44" s="57">
        <f>(1/12)*0.0555</f>
        <v>4.6249999999999998E-3</v>
      </c>
      <c r="C44" s="81" t="s">
        <v>143</v>
      </c>
      <c r="D44" s="90">
        <f>TRUNC(B44*$D$8,2)</f>
        <v>41.62</v>
      </c>
      <c r="E44" s="79" t="s">
        <v>58</v>
      </c>
    </row>
    <row r="45" spans="1:5" ht="16.5" customHeight="1" x14ac:dyDescent="0.2">
      <c r="A45" s="29" t="s">
        <v>59</v>
      </c>
      <c r="B45" s="59">
        <f>(1/12)*0.055*0.08</f>
        <v>3.6666666666666667E-4</v>
      </c>
      <c r="C45" s="58" t="s">
        <v>137</v>
      </c>
      <c r="D45" s="90">
        <f>TRUNC(B45*$D$8,2)</f>
        <v>3.3</v>
      </c>
      <c r="E45" s="79" t="s">
        <v>60</v>
      </c>
    </row>
    <row r="46" spans="1:5" ht="16.5" customHeight="1" x14ac:dyDescent="0.2">
      <c r="A46" s="28" t="s">
        <v>102</v>
      </c>
      <c r="B46" s="60">
        <f>0.4*0.08</f>
        <v>3.2000000000000001E-2</v>
      </c>
      <c r="C46" s="30" t="s">
        <v>127</v>
      </c>
      <c r="D46" s="90">
        <f>TRUNC(B46*$D$8,2)</f>
        <v>288</v>
      </c>
      <c r="E46" s="79" t="s">
        <v>84</v>
      </c>
    </row>
    <row r="47" spans="1:5" ht="17.25" customHeight="1" x14ac:dyDescent="0.2">
      <c r="A47" s="28" t="s">
        <v>103</v>
      </c>
      <c r="B47" s="95">
        <f>(1/12)*0.01</f>
        <v>8.3333333333333328E-4</v>
      </c>
      <c r="C47" s="96" t="s">
        <v>121</v>
      </c>
      <c r="D47" s="90">
        <f>TRUNC(B47*$D$8,2)</f>
        <v>7.5</v>
      </c>
      <c r="E47" s="62" t="s">
        <v>87</v>
      </c>
    </row>
    <row r="48" spans="1:5" ht="17.25" customHeight="1" x14ac:dyDescent="0.2">
      <c r="A48" s="29" t="s">
        <v>104</v>
      </c>
      <c r="B48" s="60">
        <f>0.08*B32</f>
        <v>2.4766666666666664E-5</v>
      </c>
      <c r="C48" s="96" t="s">
        <v>123</v>
      </c>
      <c r="D48" s="90">
        <f>TRUNC(B48*D8,2)</f>
        <v>0.22</v>
      </c>
      <c r="E48" s="79" t="s">
        <v>158</v>
      </c>
    </row>
    <row r="49" spans="1:5" ht="17.25" customHeight="1" thickBot="1" x14ac:dyDescent="0.25">
      <c r="A49" s="4" t="s">
        <v>62</v>
      </c>
      <c r="B49" s="33">
        <f>SUM(B44:B48)</f>
        <v>3.7849766666666666E-2</v>
      </c>
      <c r="C49" s="5" t="s">
        <v>20</v>
      </c>
      <c r="D49" s="74">
        <f>SUM(D44:D48)</f>
        <v>340.64000000000004</v>
      </c>
      <c r="E49" s="7" t="s">
        <v>12</v>
      </c>
    </row>
    <row r="50" spans="1:5" ht="13.5" x14ac:dyDescent="0.2">
      <c r="A50" s="91" t="s">
        <v>141</v>
      </c>
      <c r="B50" s="178" t="s">
        <v>140</v>
      </c>
      <c r="C50" s="158"/>
      <c r="D50" s="158"/>
      <c r="E50" s="159"/>
    </row>
    <row r="51" spans="1:5" ht="14.25" thickBot="1" x14ac:dyDescent="0.25">
      <c r="A51" s="77" t="s">
        <v>129</v>
      </c>
      <c r="B51" s="173" t="s">
        <v>147</v>
      </c>
      <c r="C51" s="160"/>
      <c r="D51" s="160"/>
      <c r="E51" s="174"/>
    </row>
    <row r="52" spans="1:5" ht="16.5" customHeight="1" thickBot="1" x14ac:dyDescent="0.25">
      <c r="A52" s="8" t="s">
        <v>63</v>
      </c>
      <c r="B52" s="87">
        <f>SUM(B49,B39,B25,B20)</f>
        <v>0.7016505583988889</v>
      </c>
      <c r="C52" s="10" t="s">
        <v>64</v>
      </c>
      <c r="D52" s="88">
        <f>SUM(D20,D25,D39,D49)</f>
        <v>6314.8200000000006</v>
      </c>
      <c r="E52" s="11" t="s">
        <v>12</v>
      </c>
    </row>
    <row r="53" spans="1:5" ht="13.5" thickBot="1" x14ac:dyDescent="0.25">
      <c r="A53" s="78"/>
      <c r="B53" s="78"/>
      <c r="C53" s="78"/>
      <c r="D53" s="61"/>
      <c r="E53" s="78"/>
    </row>
    <row r="54" spans="1:5" ht="16.5" customHeight="1" thickBot="1" x14ac:dyDescent="0.25">
      <c r="A54" s="155" t="s">
        <v>153</v>
      </c>
      <c r="B54" s="156"/>
      <c r="C54" s="156"/>
      <c r="D54" s="156"/>
      <c r="E54" s="157"/>
    </row>
    <row r="55" spans="1:5" ht="17.25" customHeight="1" x14ac:dyDescent="0.2">
      <c r="A55" s="3" t="s">
        <v>152</v>
      </c>
      <c r="B55" s="84" t="s">
        <v>11</v>
      </c>
      <c r="C55" s="1" t="s">
        <v>16</v>
      </c>
      <c r="D55" s="23" t="s">
        <v>11</v>
      </c>
      <c r="E55" s="2" t="s">
        <v>17</v>
      </c>
    </row>
    <row r="56" spans="1:5" ht="25.5" x14ac:dyDescent="0.2">
      <c r="A56" s="28" t="s">
        <v>168</v>
      </c>
      <c r="B56" s="85">
        <v>34.18</v>
      </c>
      <c r="C56" s="26" t="str">
        <f>B56 &amp; " * 22"</f>
        <v>34,18 * 22</v>
      </c>
      <c r="D56" s="73">
        <f>TRUNC(B56*22,2)</f>
        <v>751.96</v>
      </c>
      <c r="E56" s="27" t="s">
        <v>185</v>
      </c>
    </row>
    <row r="57" spans="1:5" ht="25.5" x14ac:dyDescent="0.2">
      <c r="A57" s="28" t="s">
        <v>85</v>
      </c>
      <c r="B57" s="85">
        <v>5.25</v>
      </c>
      <c r="C57" s="26" t="str">
        <f>B57&amp; " * 4 * 22"</f>
        <v>5,25 * 4 * 22</v>
      </c>
      <c r="D57" s="73">
        <f>TRUNC(B57*22*4,2)</f>
        <v>462</v>
      </c>
      <c r="E57" s="27" t="s">
        <v>186</v>
      </c>
    </row>
    <row r="58" spans="1:5" ht="17.25" customHeight="1" x14ac:dyDescent="0.2">
      <c r="A58" s="28" t="s">
        <v>86</v>
      </c>
      <c r="B58" s="85">
        <f>D58</f>
        <v>-462</v>
      </c>
      <c r="C58" s="26" t="s">
        <v>65</v>
      </c>
      <c r="D58" s="73">
        <f>IF(D57&gt;=TRUNC(0.06*D7,2),TRUNC(-0.06*D7,2),-D57)</f>
        <v>-462</v>
      </c>
      <c r="E58" s="62" t="s">
        <v>90</v>
      </c>
    </row>
    <row r="59" spans="1:5" ht="17.25" customHeight="1" x14ac:dyDescent="0.2">
      <c r="A59" s="28" t="s">
        <v>75</v>
      </c>
      <c r="B59" s="85">
        <f>'Quadro Resumo'!B26</f>
        <v>0</v>
      </c>
      <c r="C59" s="26" t="str">
        <f>B59 &amp; " * 3"</f>
        <v>0 * 3</v>
      </c>
      <c r="D59" s="73">
        <f>ROUND(B59*3,2)</f>
        <v>0</v>
      </c>
      <c r="E59" s="132" t="s">
        <v>166</v>
      </c>
    </row>
    <row r="60" spans="1:5" ht="17.25" customHeight="1" x14ac:dyDescent="0.2">
      <c r="A60" s="68" t="s">
        <v>126</v>
      </c>
      <c r="B60" s="136">
        <f>'Quadro Resumo'!B27</f>
        <v>0</v>
      </c>
      <c r="C60" s="58" t="str">
        <f>B60&amp;" * 3/12"</f>
        <v>0 * 3/12</v>
      </c>
      <c r="D60" s="75">
        <f>ROUND(B60*3/12,2)</f>
        <v>0</v>
      </c>
      <c r="E60" s="137" t="s">
        <v>166</v>
      </c>
    </row>
    <row r="61" spans="1:5" ht="33.75" customHeight="1" x14ac:dyDescent="0.2">
      <c r="A61" s="138" t="s">
        <v>178</v>
      </c>
      <c r="B61" s="133">
        <f>ROUNDUP('CUSTOS DE VALOR SUBJETIVO'!B9/12,2)</f>
        <v>0</v>
      </c>
      <c r="C61" s="30" t="s">
        <v>135</v>
      </c>
      <c r="D61" s="73">
        <f>B61</f>
        <v>0</v>
      </c>
      <c r="E61" s="132" t="s">
        <v>179</v>
      </c>
    </row>
    <row r="62" spans="1:5" ht="31.5" customHeight="1" x14ac:dyDescent="0.2">
      <c r="A62" s="29" t="s">
        <v>130</v>
      </c>
      <c r="B62" s="85">
        <f>ROUNDUP('CUSTOS DE VALOR SUBJETIVO'!B17/12,2)</f>
        <v>0</v>
      </c>
      <c r="C62" s="58" t="s">
        <v>135</v>
      </c>
      <c r="D62" s="75">
        <f>B62</f>
        <v>0</v>
      </c>
      <c r="E62" s="82" t="s">
        <v>94</v>
      </c>
    </row>
    <row r="63" spans="1:5" ht="17.25" customHeight="1" thickBot="1" x14ac:dyDescent="0.25">
      <c r="A63" s="4" t="s">
        <v>96</v>
      </c>
      <c r="B63" s="86"/>
      <c r="C63" s="5" t="s">
        <v>20</v>
      </c>
      <c r="D63" s="74">
        <f>SUM(D56:D62)</f>
        <v>751.96</v>
      </c>
      <c r="E63" s="7" t="s">
        <v>12</v>
      </c>
    </row>
    <row r="64" spans="1:5" x14ac:dyDescent="0.2">
      <c r="A64" s="175" t="s">
        <v>167</v>
      </c>
      <c r="B64" s="176"/>
      <c r="C64" s="176"/>
      <c r="D64" s="176"/>
      <c r="E64" s="176"/>
    </row>
    <row r="65" spans="1:5" ht="13.5" thickBot="1" x14ac:dyDescent="0.25">
      <c r="A65" s="177"/>
      <c r="B65" s="177"/>
      <c r="C65" s="177"/>
      <c r="D65" s="177"/>
      <c r="E65" s="177"/>
    </row>
    <row r="66" spans="1:5" ht="30.75" customHeight="1" thickBot="1" x14ac:dyDescent="0.25">
      <c r="A66" s="12" t="s">
        <v>66</v>
      </c>
      <c r="B66" s="9" t="s">
        <v>12</v>
      </c>
      <c r="C66" s="9" t="s">
        <v>67</v>
      </c>
      <c r="D66" s="32">
        <f>SUM(D8,D52,D63)</f>
        <v>16066.779999999999</v>
      </c>
      <c r="E66" s="11" t="s">
        <v>12</v>
      </c>
    </row>
    <row r="67" spans="1:5" ht="13.5" thickBot="1" x14ac:dyDescent="0.25">
      <c r="A67" s="63"/>
      <c r="B67" s="64"/>
      <c r="C67" s="64"/>
      <c r="D67" s="65"/>
      <c r="E67" s="66"/>
    </row>
    <row r="68" spans="1:5" ht="17.25" customHeight="1" x14ac:dyDescent="0.2">
      <c r="A68" s="3" t="s">
        <v>119</v>
      </c>
      <c r="B68" s="1" t="s">
        <v>23</v>
      </c>
      <c r="C68" s="1" t="s">
        <v>16</v>
      </c>
      <c r="D68" s="23" t="s">
        <v>11</v>
      </c>
      <c r="E68" s="2" t="s">
        <v>17</v>
      </c>
    </row>
    <row r="69" spans="1:5" ht="17.25" customHeight="1" x14ac:dyDescent="0.2">
      <c r="A69" s="28" t="s">
        <v>98</v>
      </c>
      <c r="B69" s="69">
        <f>'Quadro Resumo'!B21</f>
        <v>0</v>
      </c>
      <c r="C69" s="134" t="s">
        <v>12</v>
      </c>
      <c r="D69" s="83">
        <f>TRUNC(B69*D66,2)</f>
        <v>0</v>
      </c>
      <c r="E69" s="40" t="s">
        <v>12</v>
      </c>
    </row>
    <row r="70" spans="1:5" ht="30.75" customHeight="1" x14ac:dyDescent="0.2">
      <c r="A70" s="28" t="s">
        <v>6</v>
      </c>
      <c r="B70" s="69">
        <f>'Quadro Resumo'!B22</f>
        <v>0</v>
      </c>
      <c r="C70" s="26" t="s">
        <v>135</v>
      </c>
      <c r="D70" s="83">
        <f>TRUNC(B70*D66,2)</f>
        <v>0</v>
      </c>
      <c r="E70" s="27" t="s">
        <v>136</v>
      </c>
    </row>
    <row r="71" spans="1:5" ht="16.5" customHeight="1" thickBot="1" x14ac:dyDescent="0.25">
      <c r="A71" s="4" t="s">
        <v>68</v>
      </c>
      <c r="B71" s="33">
        <f>SUM(B69:B70)</f>
        <v>0</v>
      </c>
      <c r="C71" s="5" t="s">
        <v>20</v>
      </c>
      <c r="D71" s="72">
        <f>SUM(D69:D70)</f>
        <v>0</v>
      </c>
      <c r="E71" s="7" t="s">
        <v>12</v>
      </c>
    </row>
    <row r="72" spans="1:5" ht="24" customHeight="1" thickBot="1" x14ac:dyDescent="0.25">
      <c r="A72" s="99"/>
      <c r="B72" s="78"/>
      <c r="C72" s="78"/>
      <c r="D72" s="39"/>
      <c r="E72" s="78"/>
    </row>
    <row r="73" spans="1:5" ht="16.5" customHeight="1" x14ac:dyDescent="0.2">
      <c r="A73" s="13" t="s">
        <v>69</v>
      </c>
      <c r="B73" s="1" t="s">
        <v>23</v>
      </c>
      <c r="C73" s="1" t="s">
        <v>16</v>
      </c>
      <c r="D73" s="23" t="s">
        <v>11</v>
      </c>
      <c r="E73" s="2" t="s">
        <v>17</v>
      </c>
    </row>
    <row r="74" spans="1:5" ht="16.5" customHeight="1" x14ac:dyDescent="0.2">
      <c r="A74" s="28" t="s">
        <v>7</v>
      </c>
      <c r="B74" s="69">
        <f>'Quadro Resumo'!B34</f>
        <v>0</v>
      </c>
      <c r="C74" s="171" t="s">
        <v>97</v>
      </c>
      <c r="D74" s="73">
        <f>TRUNC((($D$66+$D$71)/(1-(($B$74+$B$75+$B$76))))*(B74),2)</f>
        <v>0</v>
      </c>
      <c r="E74" s="62" t="s">
        <v>93</v>
      </c>
    </row>
    <row r="75" spans="1:5" ht="16.5" customHeight="1" x14ac:dyDescent="0.2">
      <c r="A75" s="28" t="s">
        <v>8</v>
      </c>
      <c r="B75" s="69">
        <f>'Quadro Resumo'!B35</f>
        <v>0</v>
      </c>
      <c r="C75" s="172"/>
      <c r="D75" s="73">
        <f>TRUNC((($D$66+$D$71)/(1-(($B$74+$B$75+$B$76))))*(B75),2)</f>
        <v>0</v>
      </c>
      <c r="E75" s="27" t="s">
        <v>92</v>
      </c>
    </row>
    <row r="76" spans="1:5" ht="16.5" customHeight="1" x14ac:dyDescent="0.2">
      <c r="A76" s="28" t="s">
        <v>9</v>
      </c>
      <c r="B76" s="69">
        <f>'Quadro Resumo'!B36</f>
        <v>0</v>
      </c>
      <c r="C76" s="172"/>
      <c r="D76" s="73">
        <f>TRUNC((($D$66+$D$71)/(1-(($B$74+$B$75+$B$76))))*(B76),2)</f>
        <v>0</v>
      </c>
      <c r="E76" s="62" t="s">
        <v>91</v>
      </c>
    </row>
    <row r="77" spans="1:5" ht="16.5" customHeight="1" thickBot="1" x14ac:dyDescent="0.25">
      <c r="A77" s="4" t="s">
        <v>70</v>
      </c>
      <c r="B77" s="33">
        <f>SUM(B74:B76)</f>
        <v>0</v>
      </c>
      <c r="C77" s="5" t="s">
        <v>20</v>
      </c>
      <c r="D77" s="74">
        <f>SUM(D74:D76)</f>
        <v>0</v>
      </c>
      <c r="E77" s="7" t="s">
        <v>12</v>
      </c>
    </row>
    <row r="78" spans="1:5" ht="13.5" thickBot="1" x14ac:dyDescent="0.25">
      <c r="A78" s="68"/>
      <c r="B78" s="78"/>
      <c r="C78" s="78"/>
      <c r="D78" s="39"/>
      <c r="E78" s="78"/>
    </row>
    <row r="79" spans="1:5" ht="16.5" customHeight="1" thickBot="1" x14ac:dyDescent="0.25">
      <c r="A79" s="14" t="s">
        <v>71</v>
      </c>
      <c r="B79" s="15" t="s">
        <v>12</v>
      </c>
      <c r="C79" s="1" t="s">
        <v>16</v>
      </c>
      <c r="D79" s="24" t="s">
        <v>72</v>
      </c>
      <c r="E79" s="2" t="s">
        <v>73</v>
      </c>
    </row>
    <row r="80" spans="1:5" ht="16.5" customHeight="1" thickBot="1" x14ac:dyDescent="0.25">
      <c r="A80" s="16"/>
      <c r="B80" s="17" t="s">
        <v>12</v>
      </c>
      <c r="C80" s="17" t="s">
        <v>74</v>
      </c>
      <c r="D80" s="94">
        <f>TRUNC(SUM(D66,D71,D77),2)</f>
        <v>16066.78</v>
      </c>
      <c r="E80" s="31">
        <f>D80*12</f>
        <v>192801.36000000002</v>
      </c>
    </row>
    <row r="81" spans="1:5" ht="13.5" thickBot="1" x14ac:dyDescent="0.25">
      <c r="A81" s="34"/>
      <c r="B81" s="34"/>
      <c r="C81" s="34"/>
      <c r="D81" s="67"/>
      <c r="E81" s="34"/>
    </row>
    <row r="82" spans="1:5" x14ac:dyDescent="0.2">
      <c r="A82" s="14" t="s">
        <v>171</v>
      </c>
      <c r="B82" s="135" t="s">
        <v>12</v>
      </c>
      <c r="C82" s="141" t="s">
        <v>16</v>
      </c>
      <c r="D82" s="24" t="s">
        <v>11</v>
      </c>
      <c r="E82" s="142" t="s">
        <v>173</v>
      </c>
    </row>
    <row r="83" spans="1:5" ht="20.25" customHeight="1" x14ac:dyDescent="0.2">
      <c r="A83" s="28" t="s">
        <v>172</v>
      </c>
      <c r="B83" s="73">
        <f>E80</f>
        <v>192801.36000000002</v>
      </c>
      <c r="C83" s="143" t="s">
        <v>202</v>
      </c>
      <c r="D83" s="144">
        <f>B83*5</f>
        <v>964006.8</v>
      </c>
      <c r="E83" s="167">
        <f>D83+D84</f>
        <v>964006.8</v>
      </c>
    </row>
    <row r="84" spans="1:5" ht="27.75" customHeight="1" thickBot="1" x14ac:dyDescent="0.25">
      <c r="A84" s="145" t="s">
        <v>203</v>
      </c>
      <c r="B84" s="70">
        <f>'Quadro Resumo'!C17</f>
        <v>0</v>
      </c>
      <c r="C84" s="37" t="s">
        <v>204</v>
      </c>
      <c r="D84" s="146">
        <f>'Quadro Resumo'!C17</f>
        <v>0</v>
      </c>
      <c r="E84" s="168"/>
    </row>
  </sheetData>
  <sheetProtection algorithmName="SHA-512" hashValue="CzMHObO9DgrTAr+3Ow2tfonwEI7tZKq74KKmaLRZvy9bVboBggy/23RmKsFUom3g7N+1RJIca/rTQbDx0oSSKg==" saltValue="JDLpVwjQo+kPxaias78H+A==" spinCount="100000" sheet="1" objects="1" scenarios="1"/>
  <mergeCells count="11">
    <mergeCell ref="E83:E84"/>
    <mergeCell ref="B51:E51"/>
    <mergeCell ref="A54:E54"/>
    <mergeCell ref="A64:E65"/>
    <mergeCell ref="C74:C76"/>
    <mergeCell ref="B50:E50"/>
    <mergeCell ref="A1:E1"/>
    <mergeCell ref="A3:C3"/>
    <mergeCell ref="A10:E10"/>
    <mergeCell ref="D40:E40"/>
    <mergeCell ref="B41:D41"/>
  </mergeCells>
  <conditionalFormatting sqref="B62">
    <cfRule type="expression" dxfId="0" priority="1">
      <formula>ISBLANK($B$62)</formula>
    </cfRule>
  </conditionalFormatting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46FC78E9DAA7468FEFE956425FE6ED" ma:contentTypeVersion="18" ma:contentTypeDescription="Crie um novo documento." ma:contentTypeScope="" ma:versionID="56dd4570689f9cb0a8557ee07949e8b5">
  <xsd:schema xmlns:xsd="http://www.w3.org/2001/XMLSchema" xmlns:xs="http://www.w3.org/2001/XMLSchema" xmlns:p="http://schemas.microsoft.com/office/2006/metadata/properties" xmlns:ns2="560cca0d-35ea-4002-ac47-83492c783f9b" xmlns:ns3="f41e4967-f77e-4162-aa81-3b08026accb9" targetNamespace="http://schemas.microsoft.com/office/2006/metadata/properties" ma:root="true" ma:fieldsID="256a29db4381a7e81e01944c44b7f680" ns2:_="" ns3:_="">
    <xsd:import namespace="560cca0d-35ea-4002-ac47-83492c783f9b"/>
    <xsd:import namespace="f41e4967-f77e-4162-aa81-3b08026acc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0cca0d-35ea-4002-ac47-83492c783f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1577935-f3ef-4477-88ef-d25db4c16c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e4967-f77e-4162-aa81-3b08026accb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f95e1e5-fc1a-49cd-9429-c9762278c382}" ma:internalName="TaxCatchAll" ma:showField="CatchAllData" ma:web="f41e4967-f77e-4162-aa81-3b08026acc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0cca0d-35ea-4002-ac47-83492c783f9b">
      <Terms xmlns="http://schemas.microsoft.com/office/infopath/2007/PartnerControls"/>
    </lcf76f155ced4ddcb4097134ff3c332f>
    <TaxCatchAll xmlns="f41e4967-f77e-4162-aa81-3b08026accb9" xsi:nil="true"/>
  </documentManagement>
</p:properties>
</file>

<file path=customXml/itemProps1.xml><?xml version="1.0" encoding="utf-8"?>
<ds:datastoreItem xmlns:ds="http://schemas.openxmlformats.org/officeDocument/2006/customXml" ds:itemID="{54088ABA-6CB4-4244-97EE-410E6BF11E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0cca0d-35ea-4002-ac47-83492c783f9b"/>
    <ds:schemaRef ds:uri="f41e4967-f77e-4162-aa81-3b08026acc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9A1404-034B-40E2-8512-FF608102D9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284F2C-D662-45DE-96D4-FF2E8BAA8A43}">
  <ds:schemaRefs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f41e4967-f77e-4162-aa81-3b08026accb9"/>
    <ds:schemaRef ds:uri="560cca0d-35ea-4002-ac47-83492c783f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1</vt:i4>
      </vt:variant>
    </vt:vector>
  </HeadingPairs>
  <TitlesOfParts>
    <vt:vector size="10" baseType="lpstr">
      <vt:lpstr>CUSTOS DE VALOR SUBJETIVO</vt:lpstr>
      <vt:lpstr>Quadro Resumo</vt:lpstr>
      <vt:lpstr>Posto 1</vt:lpstr>
      <vt:lpstr>Posto 2</vt:lpstr>
      <vt:lpstr>Posto 3</vt:lpstr>
      <vt:lpstr>Posto 4</vt:lpstr>
      <vt:lpstr>Posto 5</vt:lpstr>
      <vt:lpstr>Posto 6</vt:lpstr>
      <vt:lpstr>Posto 7</vt:lpstr>
      <vt:lpstr>'Quadro Resumo'!Area_de_impressao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Sérgio Júnior</dc:creator>
  <cp:lastModifiedBy>Sergio Vieira de Souza Junior</cp:lastModifiedBy>
  <cp:revision/>
  <cp:lastPrinted>2019-06-07T23:18:40Z</cp:lastPrinted>
  <dcterms:created xsi:type="dcterms:W3CDTF">2002-08-29T12:27:38Z</dcterms:created>
  <dcterms:modified xsi:type="dcterms:W3CDTF">2024-08-13T19:12:58Z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  <property fmtid="{D5CDD505-2E9C-101B-9397-08002B2CF9AE}" pid="4" name="ContentTypeId">
    <vt:lpwstr>0x010100A846FC78E9DAA7468FEFE956425FE6ED</vt:lpwstr>
  </property>
  <property fmtid="{D5CDD505-2E9C-101B-9397-08002B2CF9AE}" pid="5" name="MediaServiceImageTags">
    <vt:lpwstr/>
  </property>
</Properties>
</file>