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vsj\Downloads\"/>
    </mc:Choice>
  </mc:AlternateContent>
  <xr:revisionPtr revIDLastSave="0" documentId="13_ncr:1_{1C79F943-2EEE-4992-86DC-95FEA8CFA250}" xr6:coauthVersionLast="47" xr6:coauthVersionMax="47" xr10:uidLastSave="{00000000-0000-0000-0000-000000000000}"/>
  <bookViews>
    <workbookView xWindow="-120" yWindow="-120" windowWidth="21840" windowHeight="13140" tabRatio="865" activeTab="1" xr2:uid="{00000000-000D-0000-FFFF-FFFF00000000}"/>
  </bookViews>
  <sheets>
    <sheet name="Variáveis" sheetId="79" r:id="rId1"/>
    <sheet name="CUSTOS DE VALOR SUBJETIVO" sheetId="80" r:id="rId2"/>
    <sheet name="Quadro Resumo" sheetId="52" r:id="rId3"/>
    <sheet name="Posto 1" sheetId="57" r:id="rId4"/>
    <sheet name="Posto 2" sheetId="54" r:id="rId5"/>
  </sheets>
  <definedNames>
    <definedName name="_xlnm.Print_Area" localSheetId="2">'Quadro Resumo'!$A$1:$G$29</definedName>
    <definedName name="CARIMBO">INDEX(#REF!,MATCH(#REF!,#REF!,0))</definedName>
    <definedName name="cestabasica">#REF!</definedName>
    <definedName name="CONTAGEM">#REF!</definedName>
    <definedName name="encargos">#REF!</definedName>
    <definedName name="Excel_BuiltIn_Print_Area">#REF!</definedName>
    <definedName name="Excel_BuiltIn_Print_Area_1">#REF!</definedName>
    <definedName name="Excel_BuiltIn_Print_Area_2">#REF!</definedName>
    <definedName name="grupoa">#REF!</definedName>
    <definedName name="grupob">#REF!</definedName>
    <definedName name="grupoc">#REF!</definedName>
    <definedName name="grupod">#REF!</definedName>
    <definedName name="horasnoturnaspormes">#REF!</definedName>
    <definedName name="insumos">#REF!</definedName>
    <definedName name="OLE_LINK1" localSheetId="2">'Quadro Resumo'!#REF!</definedName>
    <definedName name="provadeimposto">#REF!</definedName>
    <definedName name="quantidade">#REF!</definedName>
    <definedName name="remuneracao">#REF!</definedName>
    <definedName name="remuneracaomaisreserva">#REF!</definedName>
    <definedName name="reservatecnica">#REF!</definedName>
    <definedName name="salario">#REF!</definedName>
    <definedName name="salariosupervisor">#REF!</definedName>
    <definedName name="segurodevida">#REF!</definedName>
    <definedName name="soma">#REF!</definedName>
    <definedName name="subsoma">#REF!</definedName>
    <definedName name="tarifaonibus">#REF!</definedName>
    <definedName name="totaldeinsumos">#REF!</definedName>
    <definedName name="treinamento">#REF!</definedName>
    <definedName name="uniforme">#REF!</definedName>
    <definedName name="valordahoranotur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54" l="1"/>
  <c r="B32" i="54"/>
  <c r="B7" i="52" l="1"/>
  <c r="B32" i="57" l="1"/>
  <c r="D56" i="54" l="1"/>
  <c r="C56" i="54"/>
  <c r="C7" i="52" l="1"/>
  <c r="B45" i="57" l="1"/>
  <c r="B44" i="57"/>
  <c r="B35" i="57"/>
  <c r="B35" i="54"/>
  <c r="B44" i="54"/>
  <c r="B47" i="54"/>
  <c r="B47" i="57"/>
  <c r="B45" i="54"/>
  <c r="B34" i="57"/>
  <c r="B7" i="80" l="1"/>
  <c r="B61" i="57" l="1"/>
  <c r="B61" i="54"/>
  <c r="B21" i="80"/>
  <c r="C13" i="52" s="1"/>
  <c r="B46" i="54" l="1"/>
  <c r="B46" i="57"/>
  <c r="C56" i="57" l="1"/>
  <c r="D57" i="54" l="1"/>
  <c r="C57" i="54"/>
  <c r="C8" i="52"/>
  <c r="D4" i="57"/>
  <c r="B60" i="54" l="1"/>
  <c r="B60" i="57"/>
  <c r="B59" i="54"/>
  <c r="B59" i="57"/>
  <c r="B48" i="54"/>
  <c r="B48" i="57"/>
  <c r="B49" i="57" s="1"/>
  <c r="C60" i="57" l="1"/>
  <c r="D60" i="57"/>
  <c r="C60" i="54"/>
  <c r="D60" i="54"/>
  <c r="D59" i="54"/>
  <c r="C59" i="54"/>
  <c r="D59" i="57"/>
  <c r="C59" i="57"/>
  <c r="B49" i="54"/>
  <c r="B33" i="54"/>
  <c r="B33" i="57"/>
  <c r="B31" i="54"/>
  <c r="B31" i="57"/>
  <c r="S1" i="79" l="1"/>
  <c r="S2" i="79" l="1"/>
  <c r="Y2" i="79" s="1"/>
  <c r="S4" i="79"/>
  <c r="Y4" i="79" s="1"/>
  <c r="S3" i="79"/>
  <c r="Y3" i="79" s="1"/>
  <c r="T1" i="79"/>
  <c r="C57" i="57"/>
  <c r="B29" i="54"/>
  <c r="B29" i="57"/>
  <c r="B68" i="54"/>
  <c r="B68" i="57"/>
  <c r="T3" i="79" l="1"/>
  <c r="T4" i="79"/>
  <c r="T2" i="79"/>
  <c r="U1" i="79"/>
  <c r="U4" i="79" l="1"/>
  <c r="U2" i="79"/>
  <c r="V1" i="79"/>
  <c r="U3" i="79"/>
  <c r="D57" i="57"/>
  <c r="D56" i="57"/>
  <c r="H3" i="79" l="1"/>
  <c r="V2" i="79"/>
  <c r="W1" i="79"/>
  <c r="V3" i="79"/>
  <c r="V4" i="79"/>
  <c r="B8" i="52"/>
  <c r="A4" i="57"/>
  <c r="I3" i="79" l="1"/>
  <c r="X1" i="79"/>
  <c r="W3" i="79"/>
  <c r="W2" i="79"/>
  <c r="W4" i="79"/>
  <c r="X3" i="79" l="1"/>
  <c r="X4" i="79"/>
  <c r="X2" i="79"/>
  <c r="D61" i="54" l="1"/>
  <c r="D61" i="57"/>
  <c r="D4" i="54" l="1"/>
  <c r="A4" i="54"/>
  <c r="A1" i="54"/>
  <c r="B75" i="54" l="1"/>
  <c r="B74" i="54"/>
  <c r="B73" i="54"/>
  <c r="B69" i="54"/>
  <c r="B28" i="54"/>
  <c r="B23" i="54"/>
  <c r="B19" i="54"/>
  <c r="B20" i="54" s="1"/>
  <c r="D7" i="54"/>
  <c r="D58" i="54" s="1"/>
  <c r="D62" i="54" s="1"/>
  <c r="D30" i="54" l="1"/>
  <c r="B37" i="54"/>
  <c r="B58" i="54"/>
  <c r="B76" i="54"/>
  <c r="B24" i="54"/>
  <c r="B25" i="54" s="1"/>
  <c r="A1" i="57"/>
  <c r="D8" i="54" l="1"/>
  <c r="D36" i="54" s="1"/>
  <c r="D47" i="54" l="1"/>
  <c r="B36" i="54"/>
  <c r="B38" i="54" s="1"/>
  <c r="B30" i="54"/>
  <c r="D48" i="54"/>
  <c r="D35" i="54"/>
  <c r="D44" i="54"/>
  <c r="D46" i="54"/>
  <c r="D17" i="54"/>
  <c r="D13" i="54"/>
  <c r="D16" i="54"/>
  <c r="D12" i="54"/>
  <c r="D28" i="54"/>
  <c r="D18" i="54"/>
  <c r="D14" i="54"/>
  <c r="D29" i="54"/>
  <c r="D15" i="54"/>
  <c r="D33" i="54"/>
  <c r="D23" i="54"/>
  <c r="D34" i="54"/>
  <c r="D19" i="54"/>
  <c r="D31" i="54"/>
  <c r="D32" i="54"/>
  <c r="D24" i="54"/>
  <c r="B28" i="57"/>
  <c r="D38" i="54" l="1"/>
  <c r="D25" i="54"/>
  <c r="D20" i="54"/>
  <c r="B69" i="57" l="1"/>
  <c r="B75" i="57"/>
  <c r="B74" i="57"/>
  <c r="B73" i="57"/>
  <c r="B19" i="57"/>
  <c r="B23" i="57" l="1"/>
  <c r="B20" i="57"/>
  <c r="B37" i="57" s="1"/>
  <c r="D7" i="57" l="1"/>
  <c r="B70" i="54"/>
  <c r="B70" i="57"/>
  <c r="B24" i="57"/>
  <c r="B76" i="57"/>
  <c r="D58" i="57" l="1"/>
  <c r="D62" i="57" s="1"/>
  <c r="B25" i="57"/>
  <c r="D30" i="57" l="1"/>
  <c r="D8" i="57"/>
  <c r="D36" i="57" s="1"/>
  <c r="B58" i="57"/>
  <c r="D48" i="57" l="1"/>
  <c r="D29" i="57"/>
  <c r="D47" i="57"/>
  <c r="B36" i="57"/>
  <c r="B38" i="57" s="1"/>
  <c r="D38" i="57" s="1"/>
  <c r="D16" i="57"/>
  <c r="D19" i="57"/>
  <c r="D33" i="57"/>
  <c r="D34" i="57"/>
  <c r="D17" i="57"/>
  <c r="D14" i="57"/>
  <c r="D35" i="57"/>
  <c r="D32" i="57"/>
  <c r="D23" i="57"/>
  <c r="D46" i="57"/>
  <c r="B30" i="57"/>
  <c r="D31" i="57"/>
  <c r="D15" i="57"/>
  <c r="D13" i="57"/>
  <c r="D12" i="57"/>
  <c r="D18" i="57"/>
  <c r="D28" i="57"/>
  <c r="D24" i="57"/>
  <c r="D44" i="57"/>
  <c r="D25" i="57" l="1"/>
  <c r="D20" i="57"/>
  <c r="D45" i="54"/>
  <c r="D49" i="54" s="1"/>
  <c r="D45" i="57"/>
  <c r="D49" i="57" s="1"/>
  <c r="D37" i="54" l="1"/>
  <c r="D39" i="54" s="1"/>
  <c r="D52" i="54" s="1"/>
  <c r="D65" i="54" s="1"/>
  <c r="B39" i="54"/>
  <c r="D37" i="57" l="1"/>
  <c r="D39" i="57" s="1"/>
  <c r="D52" i="57" s="1"/>
  <c r="D65" i="57" s="1"/>
  <c r="B39" i="57"/>
  <c r="B52" i="54"/>
  <c r="D68" i="54" l="1"/>
  <c r="D69" i="54"/>
  <c r="D68" i="57"/>
  <c r="D69" i="57"/>
  <c r="B52" i="57"/>
  <c r="D70" i="54" l="1"/>
  <c r="D75" i="54" l="1"/>
  <c r="D73" i="54"/>
  <c r="D74" i="54"/>
  <c r="D70" i="57"/>
  <c r="D73" i="57" l="1"/>
  <c r="D75" i="57"/>
  <c r="D74" i="57"/>
  <c r="D76" i="54"/>
  <c r="D79" i="54" l="1"/>
  <c r="E79" i="54" s="1"/>
  <c r="D76" i="57"/>
  <c r="D79" i="57" s="1"/>
  <c r="D8" i="52" l="1"/>
  <c r="F8" i="52" s="1"/>
  <c r="G8" i="52" s="1"/>
  <c r="E79" i="57"/>
  <c r="D7" i="52"/>
  <c r="F7" i="52" s="1"/>
  <c r="G7" i="52" l="1"/>
  <c r="F9" i="52" l="1"/>
  <c r="G9" i="52" l="1"/>
</calcChain>
</file>

<file path=xl/sharedStrings.xml><?xml version="1.0" encoding="utf-8"?>
<sst xmlns="http://schemas.openxmlformats.org/spreadsheetml/2006/main" count="461" uniqueCount="204">
  <si>
    <t>QUADRO RESUMO</t>
  </si>
  <si>
    <t>Posto de trabalho</t>
  </si>
  <si>
    <t>Salário-base (R$)</t>
  </si>
  <si>
    <t>Custo total unitário (R$)</t>
  </si>
  <si>
    <t>Quantidade</t>
  </si>
  <si>
    <t>Valor mensal (R$)</t>
  </si>
  <si>
    <t>Valor anual (R$)</t>
  </si>
  <si>
    <t>PREÇO GLOBAL:</t>
  </si>
  <si>
    <t>Percentual</t>
  </si>
  <si>
    <t>Despesas administrativas/operacionais</t>
  </si>
  <si>
    <t>ISSQN ou ISS</t>
  </si>
  <si>
    <t>COFINS</t>
  </si>
  <si>
    <t>PIS/PASEP</t>
  </si>
  <si>
    <t>Obs.: Os valores obtidos como quocientes ou por meio de aplicação de taxas percentuais serão truncados na segunda casa decimal, nos termos da Lei Federal nº 9.069/1995, art. 1º, §5º.</t>
  </si>
  <si>
    <t>VALOR</t>
  </si>
  <si>
    <t>-</t>
  </si>
  <si>
    <t>Carga horária de 220h</t>
  </si>
  <si>
    <t>II - COMPOSIÇÃO DA REMUNERAÇÃO</t>
  </si>
  <si>
    <t>QUANTIDADE</t>
  </si>
  <si>
    <t>MEMÓRIA DE CÁLCULO</t>
  </si>
  <si>
    <t>FUNDAMENTO</t>
  </si>
  <si>
    <t>Salário-base</t>
  </si>
  <si>
    <t>TOTAL II</t>
  </si>
  <si>
    <t>(soma)</t>
  </si>
  <si>
    <t>III - ENCARGOS SOCIAIS E TRABALHISTAS</t>
  </si>
  <si>
    <t>GRUPO III-A - Encargos previdenciários, FGTS e outras contribuições</t>
  </si>
  <si>
    <t>PERCENTUAL</t>
  </si>
  <si>
    <t>A.01 INSS</t>
  </si>
  <si>
    <t>20,000% * TOTAL II</t>
  </si>
  <si>
    <t>Art. 22, inciso I da Lei nº 8.212/91</t>
  </si>
  <si>
    <t>A.02 FGTS</t>
  </si>
  <si>
    <t>8,000% * TOTAL II</t>
  </si>
  <si>
    <t>A.03 SESI/SESC</t>
  </si>
  <si>
    <t>1,500% * TOTAL II</t>
  </si>
  <si>
    <t>Art. 30, Lei 8.036/90.</t>
  </si>
  <si>
    <t>A.04 SENAI/SENAC</t>
  </si>
  <si>
    <t>1,000% * TOTAL II</t>
  </si>
  <si>
    <t>Decreto 2.318/86.</t>
  </si>
  <si>
    <t>A.05 INCRA</t>
  </si>
  <si>
    <t>0,200% * TOTAL II</t>
  </si>
  <si>
    <t>Lei 7.787/89 e DL 1.146/70.</t>
  </si>
  <si>
    <t>A.06 SEBRAE</t>
  </si>
  <si>
    <t>0,600% * TOTAL II</t>
  </si>
  <si>
    <t>Art. 8º, Lei 8.029/90, e Lei 8.154/90.</t>
  </si>
  <si>
    <t>A.07 Salário educação</t>
  </si>
  <si>
    <t>2,500% * TOTAL II</t>
  </si>
  <si>
    <t>Art. 3º, I, Decreto 87.043/82.</t>
  </si>
  <si>
    <t>A.08 Riscos ambientais do trabalho - RAT x FAP</t>
  </si>
  <si>
    <t>%(RAT*FAP) * TOTAL II</t>
  </si>
  <si>
    <t>TOTAL III-A</t>
  </si>
  <si>
    <t>B.01 13º salário</t>
  </si>
  <si>
    <t>Art. 7º, VIII, CF/88.</t>
  </si>
  <si>
    <t>TOTAL III-B</t>
  </si>
  <si>
    <t>GRUPO III-C - Custo de reposição do profissional ausente</t>
  </si>
  <si>
    <t>C.01 Férias</t>
  </si>
  <si>
    <t>Art. 19 a 23 da Lei, 8.213/91.</t>
  </si>
  <si>
    <t>Art. 473, CLT.</t>
  </si>
  <si>
    <t>Art. 6º e 201, CF/88, 392 CLT.</t>
  </si>
  <si>
    <t>TOTAL III-C</t>
  </si>
  <si>
    <t>GRUPO III-D - Provisão para a rescisão</t>
  </si>
  <si>
    <t>D.01 Aviso prévio indenizado¹</t>
  </si>
  <si>
    <t>Art. 7º, XXI, CF/88, 477,487 e 491 CLT.</t>
  </si>
  <si>
    <t>D.02 FGTS sobre aviso prévio indenizado</t>
  </si>
  <si>
    <t>Súmula 305 do TST.</t>
  </si>
  <si>
    <t>Art. 7º, XXI, CF/88, 477, 487 e 491 CLT.</t>
  </si>
  <si>
    <t>TOTAL III-D</t>
  </si>
  <si>
    <t>TOTAL III</t>
  </si>
  <si>
    <t>TOTAL III-A + TOTAL III-B + TOTAL III-C + TOTAL III-D</t>
  </si>
  <si>
    <t>Baseado no preço médio praticado em BH/MG, 2 passagens de ida e 2 de volta, 22 dias.</t>
  </si>
  <si>
    <t>(-0,06*Salário)</t>
  </si>
  <si>
    <t>TOTAL 1: TOTAL DA REMUNERAÇÃO + ENCARGOS SOCIAIS + INSUMOS</t>
  </si>
  <si>
    <t>TOTAL II  + TOTAL III + TOTAL IV</t>
  </si>
  <si>
    <t>TOTAL V</t>
  </si>
  <si>
    <t>VI - TRIBUTAÇÃO SOBRE O FATURAMENTO</t>
  </si>
  <si>
    <t>TOTAL VI</t>
  </si>
  <si>
    <t>CUSTO POR PROFISSIONAL</t>
  </si>
  <si>
    <t>MENSAL</t>
  </si>
  <si>
    <t>ANUAL</t>
  </si>
  <si>
    <t>(TOTAL 1 + TOTAL V + TOTAL VI)</t>
  </si>
  <si>
    <t>Quantidade estimada</t>
  </si>
  <si>
    <t>Plano de saúde</t>
  </si>
  <si>
    <t>Encargos sociais incidentes sobre a remuneração</t>
  </si>
  <si>
    <t>Tributação sobre o faturamento</t>
  </si>
  <si>
    <t>Valor</t>
  </si>
  <si>
    <t>Art. 7º, XVII, CF/88 e arts. 129 a 153 da CLT.</t>
  </si>
  <si>
    <t>B.02 Incidência dos encargos do grupo A sobre o 13º</t>
  </si>
  <si>
    <t>C.02 Adicional de férias</t>
  </si>
  <si>
    <t>GRUPO III-B - 13º salário</t>
  </si>
  <si>
    <t>Art. 15, da Lei 8.036/90, e o art. 214 do Decreto 3.048/1999</t>
  </si>
  <si>
    <t>Art. 18, § 1º, Lei 8.036/90 e Art. 1º, Lei Complementar 110.</t>
  </si>
  <si>
    <t>Vale-transporte</t>
  </si>
  <si>
    <t>Desconto legal sobre transporte (máximo de 6% do salário-base)</t>
  </si>
  <si>
    <t>Art. 9º, Lei 7.238/84</t>
  </si>
  <si>
    <t>(1/12) * TOTAL II</t>
  </si>
  <si>
    <t>%TOTAL III-A * %B.01 * TOTAL II</t>
  </si>
  <si>
    <t>Art. 4º, parágrafo único, Lei 7.418/85.</t>
  </si>
  <si>
    <t>Art. 239, CF/88</t>
  </si>
  <si>
    <t>Art. 195, CF/88 e Lei Complementar 70/91</t>
  </si>
  <si>
    <t>Art. 156, III, CF/88</t>
  </si>
  <si>
    <t>Nº</t>
  </si>
  <si>
    <t>Obs.: Apenas os campos em amarelo serão preenchidos pelo licitante.</t>
  </si>
  <si>
    <t>Benefícios impostos pela legislação vigente, ACT ou CCT, não previstos na planilha</t>
  </si>
  <si>
    <t>DESIGNAÇÃO DO POSTO</t>
  </si>
  <si>
    <t>(1/3)/12 * TOTAL II</t>
  </si>
  <si>
    <t>TODAS</t>
  </si>
  <si>
    <t>Confraternização Universal</t>
  </si>
  <si>
    <t>Tiradentes</t>
  </si>
  <si>
    <t>Dia do Trabalho</t>
  </si>
  <si>
    <t>TOTAL IV</t>
  </si>
  <si>
    <t>HORAS EXTRAS ESTIMADAS POR POSTO</t>
  </si>
  <si>
    <t>Média de dias úteis por mês</t>
  </si>
  <si>
    <t>Data inicial
do contrato</t>
  </si>
  <si>
    <r>
      <t>Proporção à hora de trabalho</t>
    </r>
    <r>
      <rPr>
        <b/>
        <vertAlign val="superscript"/>
        <sz val="14"/>
        <rFont val="Arial"/>
        <family val="2"/>
      </rPr>
      <t>1</t>
    </r>
  </si>
  <si>
    <t>((TOTAL 1 + TOTAL V)/(1-(ISS + COFINS + PIS/PASEP)))*alíquota</t>
  </si>
  <si>
    <t>Lucro</t>
  </si>
  <si>
    <t>(5,96/30)/12 * TOTAL II</t>
  </si>
  <si>
    <t>Bonificação e outras despesas</t>
  </si>
  <si>
    <t>(2,96/30)/12 * TOTAL II</t>
  </si>
  <si>
    <r>
      <t>D.03 Indenização</t>
    </r>
    <r>
      <rPr>
        <vertAlign val="superscript"/>
        <sz val="10"/>
        <rFont val="Arial"/>
        <family val="2"/>
      </rPr>
      <t>2</t>
    </r>
  </si>
  <si>
    <r>
      <t>D.04 Indenização adicional</t>
    </r>
    <r>
      <rPr>
        <vertAlign val="superscript"/>
        <sz val="10"/>
        <rFont val="Arial"/>
        <family val="2"/>
      </rPr>
      <t>3</t>
    </r>
  </si>
  <si>
    <r>
      <t>D.05 FGTS sobre afastamento superior a 15 dias por acidente de trabalho</t>
    </r>
    <r>
      <rPr>
        <vertAlign val="superscript"/>
        <sz val="10"/>
        <rFont val="Arial"/>
        <family val="2"/>
      </rPr>
      <t>4</t>
    </r>
  </si>
  <si>
    <t>Média de dias de descanso por mês</t>
  </si>
  <si>
    <t>Data após 12 meses de contratação</t>
  </si>
  <si>
    <t>Súmula 159 do TST.</t>
  </si>
  <si>
    <r>
      <t>C.03 Insumos e benefícios</t>
    </r>
    <r>
      <rPr>
        <vertAlign val="superscript"/>
        <sz val="10"/>
        <rFont val="Arial"/>
        <family val="2"/>
      </rPr>
      <t>1</t>
    </r>
  </si>
  <si>
    <r>
      <t>C.04 Ausência por doença</t>
    </r>
    <r>
      <rPr>
        <vertAlign val="superscript"/>
        <sz val="10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</si>
  <si>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Estima-se de 5,96 dias de licença por ano.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</si>
  <si>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Estima-se de 2,96 ausências por ano.</t>
    </r>
  </si>
  <si>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>Redução de 7 dias ou de 2h por dia. Percentual relativo a contrato de 12 meses.</t>
    </r>
  </si>
  <si>
    <r>
      <t>C.05 Auxílio doença acidentário</t>
    </r>
    <r>
      <rPr>
        <vertAlign val="superscript"/>
        <sz val="10"/>
        <rFont val="Arial"/>
        <family val="2"/>
      </rPr>
      <t>3</t>
    </r>
  </si>
  <si>
    <r>
      <t>C.06 Faltas legais</t>
    </r>
    <r>
      <rPr>
        <vertAlign val="superscript"/>
        <sz val="10"/>
        <rFont val="Arial"/>
        <family val="2"/>
      </rPr>
      <t>4</t>
    </r>
  </si>
  <si>
    <r>
      <t>C.07 Licença paternidade</t>
    </r>
    <r>
      <rPr>
        <vertAlign val="superscript"/>
        <sz val="10"/>
        <rFont val="Arial"/>
        <family val="2"/>
      </rPr>
      <t>5</t>
    </r>
  </si>
  <si>
    <r>
      <t>C.08 Aviso prévio trabalhado</t>
    </r>
    <r>
      <rPr>
        <vertAlign val="superscript"/>
        <sz val="10"/>
        <rFont val="Arial"/>
        <family val="2"/>
      </rPr>
      <t>6</t>
    </r>
  </si>
  <si>
    <r>
      <t>C.09 Afastamento maternidade</t>
    </r>
    <r>
      <rPr>
        <vertAlign val="superscript"/>
        <sz val="10"/>
        <rFont val="Arial"/>
        <family val="2"/>
      </rPr>
      <t>7</t>
    </r>
  </si>
  <si>
    <t>C.10 Incidência dos encargos do grupo A sobre itens anteriores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</si>
  <si>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Referentes unicamente à substituição por motivo de férias</t>
    </r>
  </si>
  <si>
    <t>C.11 Incidência dos encargos do grupo A sobre a remuneração do afastamento maternidade</t>
  </si>
  <si>
    <t>V - BONIFICAÇÃO E OUTRAS DESPESAS</t>
  </si>
  <si>
    <t>%TOTAL III-A * C.09 * TOTAL II</t>
  </si>
  <si>
    <t xml:space="preserve"> (1/12)* % estimado de ocorrência * TOTAL II</t>
  </si>
  <si>
    <t xml:space="preserve"> (1/12) * % estimado de ocorrência *TOTAL II</t>
  </si>
  <si>
    <t>0,08 * %C.05</t>
  </si>
  <si>
    <t>%TOTAL III-A * %(C.01+C.02+C.04+C.05+C.06+C.07+C.08) * TOTAL II</t>
  </si>
  <si>
    <t>Valor mensal do plano de saúde</t>
  </si>
  <si>
    <t>Taxa de adesão individual ao plano de saúde</t>
  </si>
  <si>
    <t xml:space="preserve"> 0,4 * 0,08 * TOTAL II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</si>
  <si>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Multa de 40% do FGTS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</si>
  <si>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Multa de 40% do FGTS </t>
    </r>
  </si>
  <si>
    <t>Outros benefícios obrigatórios</t>
  </si>
  <si>
    <t>RAT x FAP</t>
  </si>
  <si>
    <t>DETALHAMENTO DAS DESPESAS ADMINISTRATIVAS/OPERACIONAIS</t>
  </si>
  <si>
    <t>Percentual (%)</t>
  </si>
  <si>
    <t>TOTAL DAS DESPESAS ADMINISTRATIVAS/OPERACIONAIS</t>
  </si>
  <si>
    <t>Detalhada na aba CUSTOS DE VALOR SUBJETIVO</t>
  </si>
  <si>
    <t>Despesas advindas diretamente da prestação dos serviços e passíveis de serem repassadas ao BDMG</t>
  </si>
  <si>
    <t>[(5/30)/12] * 0,559* 0,01253 * TOTAL II</t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</si>
  <si>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Tendo em vista a taxa de natalidade de 1,253% e o percentual de homens empregados de 55,9%</t>
    </r>
  </si>
  <si>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Tendo em conta a taxa de natalidade de 1,253% e o percentual de mulheres empregadas de 44,1%</t>
    </r>
  </si>
  <si>
    <t>[(5/30)/12] * 0,559 * 0,01253 * TOTAL II</t>
  </si>
  <si>
    <t xml:space="preserve"> (1/12) * 0,055* 0,08 * TOTAL II</t>
  </si>
  <si>
    <r>
      <t>1</t>
    </r>
    <r>
      <rPr>
        <sz val="9"/>
        <rFont val="Arial"/>
        <family val="2"/>
      </rPr>
      <t>Estima-se que 5,5% dos empregados receberão o aviso prévio indenizado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</si>
  <si>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Considerando que 1% dos empregados serão demitidos com indenização adicional.</t>
    </r>
  </si>
  <si>
    <r>
      <t>3</t>
    </r>
    <r>
      <rPr>
        <sz val="9"/>
        <rFont val="Arial"/>
        <family val="2"/>
      </rPr>
      <t>Considerando que 1% dos empregados serão demitidos com indenização adicional..</t>
    </r>
  </si>
  <si>
    <r>
      <t>1</t>
    </r>
    <r>
      <rPr>
        <sz val="9"/>
        <rFont val="Arial"/>
        <family val="2"/>
      </rPr>
      <t>Estima-se que 5,55% dos empregados receberão o aviso prévio indenizado.</t>
    </r>
  </si>
  <si>
    <t xml:space="preserve"> (1/12) * 0,0555 * TOTAL II</t>
  </si>
  <si>
    <t>(1/12) * 0,0555 * TOTAL II</t>
  </si>
  <si>
    <t>[(7/30)/12] * 0,9445 * TOTAL II</t>
  </si>
  <si>
    <t>[(7/30)/12] * 0,9445 *TOTAL II</t>
  </si>
  <si>
    <t xml:space="preserve"> (1/12) * 0,0555* 0,08 * TOTAL II</t>
  </si>
  <si>
    <r>
      <t>4</t>
    </r>
    <r>
      <rPr>
        <sz val="9"/>
        <rFont val="Arial"/>
        <family val="2"/>
      </rPr>
      <t>Estimativa de que 0,64% dos empregados fruem do auxílio doença acidentário por período médio de 30 dias.</t>
    </r>
  </si>
  <si>
    <t xml:space="preserve">TOTAL DE OUTROS BENEFÍCIOS OBRIGATÓRIOS </t>
  </si>
  <si>
    <t xml:space="preserve">OUTROS BENEFÍCIOS OBRIGATÓRIOS </t>
  </si>
  <si>
    <t>[(Férias + adicional de férias)/12 + (TOTAL IV - vale transporte)] * (4/12) * 0,01253 * 0,441</t>
  </si>
  <si>
    <t>DETALHAMENTO - COMPOSIÇÃO DOS CAMPOS OUTROS BENEFÍCIOS OBRIGATÓRIOS,  E DESPESAS ADMINISTRATIVAS/OPERACIONAIS</t>
  </si>
  <si>
    <t>(TOTAL IV - vale transporte)/12</t>
  </si>
  <si>
    <t>GRUPO IV- Benefícios mensais e diários</t>
  </si>
  <si>
    <t>GRUPO IV - Benefícios mensais e diários</t>
  </si>
  <si>
    <t xml:space="preserve">IV - INSUMOS E BENEFÍCIOS </t>
  </si>
  <si>
    <t>IV - INSUMOS E BENEFÍCIOS</t>
  </si>
  <si>
    <t xml:space="preserve">AUXILIAR DE SERVIÇO DE ARQUIVO </t>
  </si>
  <si>
    <t>Baseado na CCT SEAC/SINDEAC, 22 dias.</t>
  </si>
  <si>
    <t>I - SALÁRIO BASE DO(A) PROFISSIONAL</t>
  </si>
  <si>
    <t>((15/30)/12)* 0,01857 * TOTAL II</t>
  </si>
  <si>
    <t>((15/30)/12)* 0,00506* TOTAL II</t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</si>
  <si>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Estima-se que 0,506% dos empregados alocados fruirão o benefício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</si>
  <si>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Estima-se que 1,857% dos empregados alocados fruirão o benefício</t>
    </r>
  </si>
  <si>
    <t>Art. 7º, XIX, CF/88 e art. 473, III, CLT.</t>
  </si>
  <si>
    <t>Art. 59 a 63, Lei 8.213/91.</t>
  </si>
  <si>
    <t>Art. 15, §5° da Lei n. 8.036/1990</t>
  </si>
  <si>
    <t xml:space="preserve">COORDENADOR(A) DE SERVIÇOS DE ARQUIVO </t>
  </si>
  <si>
    <t>Baseado na CCT  SEAC/SINDEAC 2023, 22 dias.</t>
  </si>
  <si>
    <t>Vale alimentação/refeição¹</t>
  </si>
  <si>
    <t>Art. 15, Lei N° 8.036/36 e  Art. 7º , III da CR/88.</t>
  </si>
  <si>
    <t>Art. 8º, Lei 8.029/90 e Lei 8.154/90.</t>
  </si>
  <si>
    <t>Art. 22, inciso II, Lei nº 8.212/91</t>
  </si>
  <si>
    <t>Art. 15, da Lei 8.036/90 e o art. 214 do Decreto 3.048/1999</t>
  </si>
  <si>
    <t>Art. 15, Lei N° 8.036/36 e  Art. 7º , III da CF/88.</t>
  </si>
  <si>
    <t>Art. 6º e 201, CF/88 e art. 392 CLT.</t>
  </si>
  <si>
    <t>Baseado no preço médio praticado em Belo Horizonte/MG, 2 passagens de ida e 2 de volta, 22 dias.</t>
  </si>
  <si>
    <t>SALÁRIO BASE*</t>
  </si>
  <si>
    <t>Consideradados o empregado e dois dependentes</t>
  </si>
  <si>
    <t>¹Baseado na mediana dos valores praticados pelo BDMG e na CCT SEAC/SINDEAC 2023. Esse valor é mínimo aceitável e não poderá ser reduzido. Caso seja necessária complementação, em razão de ACT/CCT ou legislação que vincule o licitante, o valor complementar deve ser incluído pelo campo Outros benefícios obrigatórios.</t>
  </si>
  <si>
    <r>
      <t>Vale alimentação/refeição</t>
    </r>
    <r>
      <rPr>
        <vertAlign val="superscript"/>
        <sz val="10"/>
        <rFont val="Arial"/>
        <family val="2"/>
      </rPr>
      <t>1</t>
    </r>
  </si>
  <si>
    <t>JUSTIFICATIVA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</si>
</sst>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\ #,##0.00_);[Red]\(&quot;R$&quot;\ #,##0.00\)"/>
    <numFmt numFmtId="44" formatCode="_(&quot;R$&quot;\ * #,##0.00_);_(&quot;R$&quot;\ * \(#,##0.00\);_(&quot;R$&quot;\ * &quot;-&quot;??_);_(@_)"/>
    <numFmt numFmtId="43" formatCode="_(* #,##0.00_);_(* \(#,##0.00\);_(* &quot;-&quot;??_);_(@_)"/>
    <numFmt numFmtId="164" formatCode="_-&quot;R$&quot;\ * #,##0.00_-;\-&quot;R$&quot;\ * #,##0.00_-;_-&quot;R$&quot;\ * &quot;-&quot;??_-;_-@_-"/>
    <numFmt numFmtId="166" formatCode="#,##0.000_);[Red]\(#,##0.000\)"/>
    <numFmt numFmtId="167" formatCode="0.0000%"/>
    <numFmt numFmtId="168" formatCode="&quot;R$&quot;\ #,##0.00"/>
    <numFmt numFmtId="169" formatCode="0.0000"/>
    <numFmt numFmtId="170" formatCode="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 Black"/>
      <family val="2"/>
    </font>
    <font>
      <b/>
      <sz val="12"/>
      <name val="Arial"/>
      <family val="2"/>
    </font>
    <font>
      <b/>
      <i/>
      <sz val="12"/>
      <name val="Arial Black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9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24"/>
      <name val="Arial"/>
      <family val="2"/>
    </font>
    <font>
      <sz val="8.5"/>
      <name val="Arial"/>
      <family val="2"/>
    </font>
    <font>
      <b/>
      <i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b/>
      <vertAlign val="superscript"/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 style="double">
        <color rgb="FFC0C0C0"/>
      </bottom>
      <diagonal/>
    </border>
    <border>
      <left style="double">
        <color indexed="64"/>
      </left>
      <right/>
      <top/>
      <bottom/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 style="double">
        <color indexed="64"/>
      </bottom>
      <diagonal/>
    </border>
    <border>
      <left style="double">
        <color rgb="FFC0C0C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C0C0C0"/>
      </left>
      <right/>
      <top style="double">
        <color indexed="64"/>
      </top>
      <bottom style="double">
        <color rgb="FFC0C0C0"/>
      </bottom>
      <diagonal/>
    </border>
    <border>
      <left/>
      <right/>
      <top/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/>
      <diagonal/>
    </border>
    <border>
      <left style="double">
        <color rgb="FFC0C0C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C0C0C0"/>
      </left>
      <right style="double">
        <color indexed="64"/>
      </right>
      <top style="double">
        <color indexed="64"/>
      </top>
      <bottom/>
      <diagonal/>
    </border>
    <border>
      <left style="double">
        <color rgb="FFC0C0C0"/>
      </left>
      <right style="double">
        <color rgb="FFC0C0C0"/>
      </right>
      <top/>
      <bottom style="double">
        <color indexed="64"/>
      </bottom>
      <diagonal/>
    </border>
    <border>
      <left style="double">
        <color rgb="FFC0C0C0"/>
      </left>
      <right style="double">
        <color theme="1"/>
      </right>
      <top style="double">
        <color indexed="64"/>
      </top>
      <bottom style="double">
        <color rgb="FFC0C0C0"/>
      </bottom>
      <diagonal/>
    </border>
    <border>
      <left style="double">
        <color rgb="FFC0C0C0"/>
      </left>
      <right style="double">
        <color theme="1"/>
      </right>
      <top/>
      <bottom style="double">
        <color rgb="FFC0C0C0"/>
      </bottom>
      <diagonal/>
    </border>
    <border>
      <left style="double">
        <color rgb="FFC0C0C0"/>
      </left>
      <right style="double">
        <color theme="1"/>
      </right>
      <top/>
      <bottom style="double">
        <color indexed="64"/>
      </bottom>
      <diagonal/>
    </border>
    <border>
      <left style="double">
        <color theme="1"/>
      </left>
      <right style="double">
        <color rgb="FFC0C0C0"/>
      </right>
      <top style="double">
        <color indexed="64"/>
      </top>
      <bottom style="double">
        <color theme="1"/>
      </bottom>
      <diagonal/>
    </border>
    <border>
      <left/>
      <right style="double">
        <color theme="1"/>
      </right>
      <top style="double">
        <color indexed="64"/>
      </top>
      <bottom style="double">
        <color theme="1"/>
      </bottom>
      <diagonal/>
    </border>
    <border>
      <left style="double">
        <color theme="1"/>
      </left>
      <right style="double">
        <color rgb="FFC0C0C0"/>
      </right>
      <top style="double">
        <color theme="1"/>
      </top>
      <bottom style="double">
        <color indexed="64"/>
      </bottom>
      <diagonal/>
    </border>
    <border>
      <left style="double">
        <color rgb="FFC0C0C0"/>
      </left>
      <right style="double">
        <color theme="1"/>
      </right>
      <top style="double">
        <color theme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249">
    <xf numFmtId="0" fontId="0" fillId="0" borderId="0" xfId="0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9" xfId="2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166" fontId="4" fillId="3" borderId="18" xfId="1" applyNumberFormat="1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166" fontId="4" fillId="3" borderId="23" xfId="1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>
      <alignment vertical="center" wrapText="1"/>
    </xf>
    <xf numFmtId="166" fontId="4" fillId="0" borderId="18" xfId="1" applyNumberFormat="1" applyFont="1" applyFill="1" applyBorder="1" applyAlignment="1" applyProtection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0" xfId="0" applyFont="1"/>
    <xf numFmtId="4" fontId="9" fillId="0" borderId="25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23" xfId="1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8" fontId="4" fillId="0" borderId="10" xfId="2" applyNumberFormat="1" applyFont="1" applyFill="1" applyBorder="1" applyAlignment="1" applyProtection="1">
      <alignment horizontal="center" vertical="center"/>
    </xf>
    <xf numFmtId="168" fontId="4" fillId="3" borderId="18" xfId="2" applyNumberFormat="1" applyFont="1" applyFill="1" applyBorder="1" applyAlignment="1" applyProtection="1">
      <alignment horizontal="center" vertical="center"/>
    </xf>
    <xf numFmtId="167" fontId="4" fillId="3" borderId="9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/>
    </xf>
    <xf numFmtId="10" fontId="3" fillId="0" borderId="0" xfId="1" applyNumberFormat="1" applyFont="1" applyBorder="1" applyAlignment="1" applyProtection="1">
      <alignment vertical="center"/>
    </xf>
    <xf numFmtId="43" fontId="3" fillId="0" borderId="0" xfId="0" applyNumberFormat="1" applyFont="1" applyAlignment="1">
      <alignment vertical="center"/>
    </xf>
    <xf numFmtId="167" fontId="3" fillId="0" borderId="1" xfId="1" applyNumberFormat="1" applyFont="1" applyBorder="1" applyAlignment="1" applyProtection="1">
      <alignment horizontal="center" vertical="center"/>
    </xf>
    <xf numFmtId="0" fontId="3" fillId="0" borderId="27" xfId="0" applyFont="1" applyBorder="1"/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167" fontId="3" fillId="0" borderId="12" xfId="1" applyNumberFormat="1" applyFont="1" applyBorder="1" applyAlignment="1" applyProtection="1">
      <alignment horizontal="center" vertical="center"/>
    </xf>
    <xf numFmtId="166" fontId="3" fillId="0" borderId="16" xfId="1" applyNumberFormat="1" applyFont="1" applyBorder="1" applyAlignment="1" applyProtection="1">
      <alignment horizontal="center" vertical="center"/>
    </xf>
    <xf numFmtId="166" fontId="3" fillId="0" borderId="0" xfId="1" applyNumberFormat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166" fontId="3" fillId="0" borderId="27" xfId="1" applyNumberFormat="1" applyFont="1" applyBorder="1" applyAlignment="1" applyProtection="1">
      <alignment horizontal="center" vertical="center"/>
    </xf>
    <xf numFmtId="167" fontId="3" fillId="0" borderId="0" xfId="1" applyNumberFormat="1" applyFont="1" applyBorder="1" applyAlignment="1" applyProtection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7" fontId="3" fillId="0" borderId="1" xfId="1" quotePrefix="1" applyNumberFormat="1" applyFont="1" applyFill="1" applyBorder="1" applyAlignment="1" applyProtection="1">
      <alignment horizontal="center" vertical="center"/>
    </xf>
    <xf numFmtId="167" fontId="3" fillId="0" borderId="0" xfId="1" quotePrefix="1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167" fontId="3" fillId="0" borderId="12" xfId="1" quotePrefix="1" applyNumberFormat="1" applyFont="1" applyFill="1" applyBorder="1" applyAlignment="1" applyProtection="1">
      <alignment horizontal="center" vertical="center"/>
    </xf>
    <xf numFmtId="167" fontId="3" fillId="0" borderId="1" xfId="0" quotePrefix="1" applyNumberFormat="1" applyFont="1" applyBorder="1" applyAlignment="1">
      <alignment horizontal="center" vertical="center"/>
    </xf>
    <xf numFmtId="4" fontId="3" fillId="0" borderId="0" xfId="2" applyNumberFormat="1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0" xfId="0" applyNumberFormat="1" applyFont="1" applyAlignment="1">
      <alignment horizontal="center"/>
    </xf>
    <xf numFmtId="0" fontId="3" fillId="0" borderId="16" xfId="0" applyFont="1" applyBorder="1" applyAlignment="1">
      <alignment vertical="center"/>
    </xf>
    <xf numFmtId="167" fontId="3" fillId="0" borderId="1" xfId="1" applyNumberFormat="1" applyFont="1" applyFill="1" applyBorder="1" applyAlignment="1" applyProtection="1">
      <alignment horizontal="center" vertical="center"/>
    </xf>
    <xf numFmtId="44" fontId="3" fillId="0" borderId="9" xfId="2" applyNumberFormat="1" applyFont="1" applyBorder="1" applyAlignment="1" applyProtection="1">
      <alignment horizontal="center" vertical="center"/>
    </xf>
    <xf numFmtId="44" fontId="3" fillId="0" borderId="1" xfId="2" applyNumberFormat="1" applyFont="1" applyFill="1" applyBorder="1" applyAlignment="1" applyProtection="1">
      <alignment horizontal="center" vertical="center"/>
    </xf>
    <xf numFmtId="44" fontId="4" fillId="3" borderId="9" xfId="0" applyNumberFormat="1" applyFont="1" applyFill="1" applyBorder="1" applyAlignment="1">
      <alignment horizontal="center" vertical="center"/>
    </xf>
    <xf numFmtId="44" fontId="3" fillId="0" borderId="1" xfId="2" applyNumberFormat="1" applyFont="1" applyBorder="1" applyAlignment="1" applyProtection="1">
      <alignment horizontal="center" vertical="center"/>
    </xf>
    <xf numFmtId="44" fontId="4" fillId="3" borderId="9" xfId="2" applyNumberFormat="1" applyFont="1" applyFill="1" applyBorder="1" applyAlignment="1" applyProtection="1">
      <alignment horizontal="center" vertical="center"/>
    </xf>
    <xf numFmtId="44" fontId="3" fillId="0" borderId="12" xfId="2" applyNumberFormat="1" applyFont="1" applyBorder="1" applyAlignment="1" applyProtection="1">
      <alignment horizontal="center" vertical="center"/>
    </xf>
    <xf numFmtId="0" fontId="15" fillId="6" borderId="16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4" fillId="3" borderId="34" xfId="0" quotePrefix="1" applyFont="1" applyFill="1" applyBorder="1" applyAlignment="1">
      <alignment horizontal="center" vertical="center"/>
    </xf>
    <xf numFmtId="44" fontId="3" fillId="0" borderId="32" xfId="0" quotePrefix="1" applyNumberFormat="1" applyFont="1" applyBorder="1" applyAlignment="1">
      <alignment horizontal="center" vertical="center"/>
    </xf>
    <xf numFmtId="44" fontId="3" fillId="3" borderId="35" xfId="0" quotePrefix="1" applyNumberFormat="1" applyFont="1" applyFill="1" applyBorder="1" applyAlignment="1">
      <alignment horizontal="center" vertical="center"/>
    </xf>
    <xf numFmtId="167" fontId="4" fillId="3" borderId="18" xfId="1" quotePrefix="1" applyNumberFormat="1" applyFont="1" applyFill="1" applyBorder="1" applyAlignment="1" applyProtection="1">
      <alignment horizontal="center" vertical="center"/>
    </xf>
    <xf numFmtId="44" fontId="4" fillId="3" borderId="18" xfId="2" applyNumberFormat="1" applyFont="1" applyFill="1" applyBorder="1" applyAlignment="1" applyProtection="1">
      <alignment horizontal="center" vertical="center"/>
    </xf>
    <xf numFmtId="44" fontId="4" fillId="3" borderId="1" xfId="2" applyNumberFormat="1" applyFont="1" applyFill="1" applyBorder="1" applyAlignment="1" applyProtection="1">
      <alignment horizontal="center" vertical="center"/>
    </xf>
    <xf numFmtId="44" fontId="3" fillId="0" borderId="12" xfId="2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left" vertical="top" wrapText="1"/>
    </xf>
    <xf numFmtId="0" fontId="3" fillId="0" borderId="20" xfId="0" applyFont="1" applyBorder="1" applyAlignment="1">
      <alignment vertical="top"/>
    </xf>
    <xf numFmtId="0" fontId="15" fillId="0" borderId="0" xfId="0" applyFont="1" applyAlignment="1">
      <alignment vertical="top"/>
    </xf>
    <xf numFmtId="168" fontId="4" fillId="0" borderId="18" xfId="2" applyNumberFormat="1" applyFont="1" applyFill="1" applyBorder="1" applyAlignment="1" applyProtection="1">
      <alignment horizontal="center" vertical="center"/>
    </xf>
    <xf numFmtId="167" fontId="3" fillId="0" borderId="12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5" fillId="0" borderId="47" xfId="0" applyFont="1" applyBorder="1" applyAlignment="1">
      <alignment horizontal="left" vertical="top"/>
    </xf>
    <xf numFmtId="0" fontId="16" fillId="0" borderId="20" xfId="0" applyFont="1" applyBorder="1" applyAlignment="1">
      <alignment vertical="top"/>
    </xf>
    <xf numFmtId="0" fontId="15" fillId="0" borderId="2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7" fontId="18" fillId="2" borderId="1" xfId="0" applyNumberFormat="1" applyFont="1" applyFill="1" applyBorder="1" applyAlignment="1" applyProtection="1">
      <alignment horizontal="center" vertical="center"/>
      <protection locked="0"/>
    </xf>
    <xf numFmtId="168" fontId="18" fillId="2" borderId="1" xfId="3" applyNumberFormat="1" applyFont="1" applyFill="1" applyBorder="1" applyAlignment="1" applyProtection="1">
      <alignment horizontal="center" vertical="center"/>
      <protection locked="0"/>
    </xf>
    <xf numFmtId="8" fontId="18" fillId="2" borderId="1" xfId="0" applyNumberFormat="1" applyFont="1" applyFill="1" applyBorder="1" applyAlignment="1" applyProtection="1">
      <alignment horizontal="center" vertical="center"/>
      <protection locked="0"/>
    </xf>
    <xf numFmtId="167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51" xfId="6" applyFont="1" applyBorder="1" applyAlignment="1" applyProtection="1">
      <alignment horizontal="center" vertical="center"/>
      <protection locked="0"/>
    </xf>
    <xf numFmtId="0" fontId="31" fillId="2" borderId="55" xfId="6" applyFont="1" applyFill="1" applyBorder="1" applyAlignment="1" applyProtection="1">
      <alignment vertical="center"/>
      <protection locked="0"/>
    </xf>
    <xf numFmtId="0" fontId="2" fillId="0" borderId="52" xfId="6" applyBorder="1" applyAlignment="1" applyProtection="1">
      <alignment horizontal="center" vertical="center"/>
      <protection locked="0"/>
    </xf>
    <xf numFmtId="0" fontId="31" fillId="2" borderId="53" xfId="7" applyFont="1" applyFill="1" applyBorder="1" applyAlignment="1" applyProtection="1">
      <alignment vertical="center" wrapText="1"/>
      <protection locked="0"/>
    </xf>
    <xf numFmtId="168" fontId="31" fillId="2" borderId="54" xfId="7" applyNumberFormat="1" applyFont="1" applyFill="1" applyBorder="1" applyAlignment="1" applyProtection="1">
      <alignment horizontal="center" vertical="center"/>
      <protection locked="0"/>
    </xf>
    <xf numFmtId="0" fontId="31" fillId="2" borderId="53" xfId="6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0" fillId="10" borderId="60" xfId="6" applyFont="1" applyFill="1" applyBorder="1" applyAlignment="1" applyProtection="1">
      <alignment horizontal="center" vertical="center"/>
      <protection locked="0"/>
    </xf>
    <xf numFmtId="0" fontId="30" fillId="0" borderId="56" xfId="6" applyFont="1" applyBorder="1" applyAlignment="1" applyProtection="1">
      <alignment vertical="center"/>
      <protection locked="0"/>
    </xf>
    <xf numFmtId="0" fontId="30" fillId="0" borderId="57" xfId="6" applyFont="1" applyBorder="1" applyAlignment="1" applyProtection="1">
      <alignment horizontal="center" vertical="center"/>
      <protection locked="0"/>
    </xf>
    <xf numFmtId="0" fontId="2" fillId="0" borderId="52" xfId="6" applyBorder="1" applyProtection="1">
      <protection locked="0"/>
    </xf>
    <xf numFmtId="0" fontId="30" fillId="0" borderId="51" xfId="6" applyFont="1" applyBorder="1" applyAlignment="1" applyProtection="1">
      <alignment horizontal="center" vertical="center" wrapText="1"/>
      <protection locked="0"/>
    </xf>
    <xf numFmtId="0" fontId="30" fillId="0" borderId="58" xfId="6" applyFont="1" applyBorder="1" applyAlignment="1" applyProtection="1">
      <alignment horizontal="center" vertical="center"/>
      <protection locked="0"/>
    </xf>
    <xf numFmtId="167" fontId="31" fillId="2" borderId="59" xfId="7" applyNumberFormat="1" applyFont="1" applyFill="1" applyBorder="1" applyAlignment="1" applyProtection="1">
      <alignment horizontal="center" vertical="center"/>
      <protection locked="0"/>
    </xf>
    <xf numFmtId="167" fontId="31" fillId="2" borderId="59" xfId="6" applyNumberFormat="1" applyFont="1" applyFill="1" applyBorder="1" applyAlignment="1" applyProtection="1">
      <alignment horizontal="center" vertical="center"/>
      <protection locked="0"/>
    </xf>
    <xf numFmtId="167" fontId="30" fillId="10" borderId="61" xfId="6" applyNumberFormat="1" applyFont="1" applyFill="1" applyBorder="1" applyAlignment="1">
      <alignment horizontal="center" vertical="center"/>
    </xf>
    <xf numFmtId="0" fontId="0" fillId="0" borderId="62" xfId="0" applyBorder="1" applyProtection="1">
      <protection locked="0"/>
    </xf>
    <xf numFmtId="43" fontId="0" fillId="0" borderId="0" xfId="2" applyFont="1" applyProtection="1">
      <protection locked="0"/>
    </xf>
    <xf numFmtId="0" fontId="31" fillId="0" borderId="60" xfId="6" applyFont="1" applyBorder="1" applyAlignment="1" applyProtection="1">
      <alignment vertical="center" wrapText="1"/>
      <protection locked="0"/>
    </xf>
    <xf numFmtId="0" fontId="2" fillId="0" borderId="0" xfId="6" applyAlignment="1" applyProtection="1">
      <alignment horizontal="center" vertical="center"/>
      <protection locked="0"/>
    </xf>
    <xf numFmtId="0" fontId="31" fillId="0" borderId="63" xfId="6" applyFont="1" applyBorder="1" applyAlignment="1" applyProtection="1">
      <alignment horizontal="center" vertical="center"/>
      <protection locked="0"/>
    </xf>
    <xf numFmtId="0" fontId="31" fillId="2" borderId="64" xfId="6" applyFont="1" applyFill="1" applyBorder="1" applyAlignment="1" applyProtection="1">
      <alignment vertical="center" wrapText="1"/>
      <protection locked="0"/>
    </xf>
    <xf numFmtId="0" fontId="30" fillId="9" borderId="65" xfId="6" applyFont="1" applyFill="1" applyBorder="1" applyAlignment="1" applyProtection="1">
      <alignment horizontal="center" vertical="center"/>
      <protection locked="0"/>
    </xf>
    <xf numFmtId="0" fontId="31" fillId="2" borderId="66" xfId="6" applyFont="1" applyFill="1" applyBorder="1" applyAlignment="1" applyProtection="1">
      <alignment vertical="center"/>
      <protection locked="0"/>
    </xf>
    <xf numFmtId="0" fontId="0" fillId="2" borderId="67" xfId="0" applyFill="1" applyBorder="1" applyProtection="1">
      <protection locked="0"/>
    </xf>
    <xf numFmtId="0" fontId="2" fillId="0" borderId="62" xfId="6" applyBorder="1" applyAlignment="1" applyProtection="1">
      <alignment horizontal="center" vertical="center"/>
      <protection locked="0"/>
    </xf>
    <xf numFmtId="0" fontId="30" fillId="10" borderId="68" xfId="6" applyFont="1" applyFill="1" applyBorder="1" applyAlignment="1" applyProtection="1">
      <alignment horizontal="center" vertical="center"/>
      <protection locked="0"/>
    </xf>
    <xf numFmtId="168" fontId="30" fillId="10" borderId="69" xfId="6" applyNumberFormat="1" applyFont="1" applyFill="1" applyBorder="1" applyAlignment="1">
      <alignment horizontal="center" vertical="center"/>
    </xf>
    <xf numFmtId="0" fontId="31" fillId="0" borderId="70" xfId="6" applyFont="1" applyBorder="1" applyAlignment="1" applyProtection="1">
      <alignment vertical="center" wrapText="1"/>
      <protection locked="0"/>
    </xf>
    <xf numFmtId="0" fontId="31" fillId="0" borderId="71" xfId="6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44" fontId="3" fillId="0" borderId="1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19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/>
    <xf numFmtId="168" fontId="18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horizontal="center" vertical="center" wrapText="1"/>
    </xf>
    <xf numFmtId="0" fontId="19" fillId="4" borderId="1" xfId="0" applyFont="1" applyFill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 wrapText="1"/>
    </xf>
    <xf numFmtId="0" fontId="18" fillId="0" borderId="0" xfId="0" applyFont="1"/>
    <xf numFmtId="0" fontId="19" fillId="4" borderId="1" xfId="0" applyFont="1" applyFill="1" applyBorder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/>
    <xf numFmtId="167" fontId="18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4" fontId="0" fillId="0" borderId="0" xfId="0" applyNumberFormat="1"/>
    <xf numFmtId="0" fontId="24" fillId="0" borderId="4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4" fillId="8" borderId="42" xfId="0" applyFont="1" applyFill="1" applyBorder="1" applyAlignment="1">
      <alignment horizontal="center" vertical="center" wrapText="1"/>
    </xf>
    <xf numFmtId="168" fontId="24" fillId="8" borderId="36" xfId="0" applyNumberFormat="1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1" fontId="24" fillId="8" borderId="43" xfId="0" applyNumberFormat="1" applyFont="1" applyFill="1" applyBorder="1" applyAlignment="1">
      <alignment horizontal="center" vertical="center"/>
    </xf>
    <xf numFmtId="14" fontId="24" fillId="7" borderId="35" xfId="0" applyNumberFormat="1" applyFont="1" applyFill="1" applyBorder="1" applyAlignment="1">
      <alignment horizontal="center" vertical="center"/>
    </xf>
    <xf numFmtId="14" fontId="24" fillId="7" borderId="9" xfId="0" applyNumberFormat="1" applyFont="1" applyFill="1" applyBorder="1" applyAlignment="1">
      <alignment horizontal="center" vertical="center"/>
    </xf>
    <xf numFmtId="170" fontId="24" fillId="7" borderId="9" xfId="0" applyNumberFormat="1" applyFont="1" applyFill="1" applyBorder="1" applyAlignment="1">
      <alignment horizontal="center" vertical="center"/>
    </xf>
    <xf numFmtId="169" fontId="24" fillId="7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6" fillId="0" borderId="25" xfId="0" applyFont="1" applyBorder="1" applyAlignment="1">
      <alignment horizontal="left" vertical="top" wrapText="1"/>
    </xf>
    <xf numFmtId="0" fontId="21" fillId="0" borderId="38" xfId="0" applyFont="1" applyBorder="1"/>
    <xf numFmtId="0" fontId="4" fillId="0" borderId="0" xfId="0" applyFont="1"/>
    <xf numFmtId="0" fontId="24" fillId="0" borderId="26" xfId="0" applyFont="1" applyBorder="1" applyAlignment="1">
      <alignment horizontal="center" vertical="center" wrapText="1"/>
    </xf>
    <xf numFmtId="0" fontId="25" fillId="0" borderId="27" xfId="0" applyFont="1" applyBorder="1"/>
    <xf numFmtId="0" fontId="24" fillId="0" borderId="45" xfId="0" applyFont="1" applyBorder="1" applyAlignment="1">
      <alignment horizontal="center" vertical="center" wrapText="1"/>
    </xf>
    <xf numFmtId="0" fontId="25" fillId="0" borderId="46" xfId="0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/>
    </xf>
    <xf numFmtId="0" fontId="25" fillId="0" borderId="40" xfId="0" applyFont="1" applyBorder="1"/>
    <xf numFmtId="0" fontId="24" fillId="0" borderId="37" xfId="0" applyFont="1" applyBorder="1" applyAlignment="1">
      <alignment horizontal="center" vertical="center"/>
    </xf>
    <xf numFmtId="0" fontId="25" fillId="0" borderId="44" xfId="0" applyFont="1" applyBorder="1"/>
    <xf numFmtId="0" fontId="30" fillId="9" borderId="48" xfId="6" applyFont="1" applyFill="1" applyBorder="1" applyAlignment="1" applyProtection="1">
      <alignment horizontal="center" vertical="center"/>
      <protection locked="0"/>
    </xf>
    <xf numFmtId="0" fontId="2" fillId="0" borderId="49" xfId="6" applyBorder="1" applyProtection="1">
      <protection locked="0"/>
    </xf>
    <xf numFmtId="0" fontId="2" fillId="0" borderId="50" xfId="6" applyBorder="1" applyProtection="1">
      <protection locked="0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8" fillId="6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right" vertical="center"/>
    </xf>
    <xf numFmtId="0" fontId="11" fillId="2" borderId="31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2" xfId="0" applyBorder="1"/>
    <xf numFmtId="0" fontId="12" fillId="0" borderId="0" xfId="0" applyFont="1" applyAlignment="1">
      <alignment vertical="top"/>
    </xf>
    <xf numFmtId="0" fontId="4" fillId="3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66" fontId="22" fillId="0" borderId="12" xfId="1" applyNumberFormat="1" applyFont="1" applyFill="1" applyBorder="1" applyAlignment="1" applyProtection="1">
      <alignment horizontal="center" vertical="center"/>
    </xf>
    <xf numFmtId="0" fontId="22" fillId="0" borderId="33" xfId="0" applyFont="1" applyBorder="1"/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top"/>
    </xf>
    <xf numFmtId="0" fontId="15" fillId="0" borderId="26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4" fillId="3" borderId="37" xfId="0" applyFont="1" applyFill="1" applyBorder="1" applyAlignment="1">
      <alignment horizontal="left" vertical="center"/>
    </xf>
    <xf numFmtId="0" fontId="4" fillId="3" borderId="72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wrapText="1"/>
    </xf>
    <xf numFmtId="0" fontId="0" fillId="0" borderId="29" xfId="0" applyBorder="1" applyAlignment="1">
      <alignment wrapText="1"/>
    </xf>
    <xf numFmtId="0" fontId="16" fillId="0" borderId="25" xfId="0" applyFont="1" applyBorder="1" applyAlignment="1">
      <alignment vertical="top"/>
    </xf>
    <xf numFmtId="0" fontId="15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/>
  </cellXfs>
  <cellStyles count="10">
    <cellStyle name="Moeda" xfId="3" builtinId="4"/>
    <cellStyle name="Moeda 2" xfId="5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 3 2" xfId="7" xr:uid="{00000000-0005-0000-0000-000005000000}"/>
    <cellStyle name="Normal 3 2 2" xfId="9" xr:uid="{00000000-0005-0000-0000-000006000000}"/>
    <cellStyle name="Normal 3 3" xfId="8" xr:uid="{00000000-0005-0000-0000-000007000000}"/>
    <cellStyle name="Porcentagem" xfId="1" builtinId="5"/>
    <cellStyle name="Vírgula" xfId="2" builtinId="3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zoomScale="60" zoomScaleNormal="60" workbookViewId="0">
      <selection activeCell="E3" sqref="E3"/>
    </sheetView>
  </sheetViews>
  <sheetFormatPr defaultColWidth="9.140625" defaultRowHeight="30" x14ac:dyDescent="0.4"/>
  <cols>
    <col min="1" max="1" width="9.140625" style="197"/>
    <col min="2" max="2" width="98.140625" style="195" bestFit="1" customWidth="1"/>
    <col min="3" max="3" width="22" style="195" bestFit="1" customWidth="1"/>
    <col min="4" max="4" width="42.42578125" style="195" bestFit="1" customWidth="1"/>
    <col min="5" max="5" width="30" style="195" bestFit="1" customWidth="1"/>
    <col min="6" max="6" width="16.5703125" style="195" bestFit="1" customWidth="1"/>
    <col min="7" max="7" width="18.42578125" style="195" bestFit="1" customWidth="1"/>
    <col min="8" max="8" width="23.42578125" style="195" customWidth="1"/>
    <col min="9" max="9" width="26.42578125" style="195" bestFit="1" customWidth="1"/>
    <col min="17" max="17" width="9.140625" customWidth="1"/>
    <col min="18" max="18" width="9.140625" hidden="1" customWidth="1"/>
    <col min="19" max="19" width="24.85546875" hidden="1" customWidth="1"/>
    <col min="20" max="20" width="28.85546875" hidden="1" customWidth="1"/>
    <col min="21" max="21" width="29.42578125" hidden="1" customWidth="1"/>
    <col min="22" max="22" width="40.42578125" hidden="1" customWidth="1"/>
    <col min="23" max="23" width="31.140625" hidden="1" customWidth="1"/>
    <col min="24" max="24" width="28" hidden="1" customWidth="1"/>
    <col min="25" max="25" width="26.5703125" hidden="1" customWidth="1"/>
  </cols>
  <sheetData>
    <row r="1" spans="1:25" ht="35.25" customHeight="1" thickBot="1" x14ac:dyDescent="0.25">
      <c r="A1" s="198"/>
      <c r="B1" s="207" t="s">
        <v>102</v>
      </c>
      <c r="C1" s="205" t="s">
        <v>199</v>
      </c>
      <c r="D1" s="203" t="s">
        <v>109</v>
      </c>
      <c r="E1" s="204"/>
      <c r="F1" s="199" t="s">
        <v>111</v>
      </c>
      <c r="G1" s="201" t="s">
        <v>122</v>
      </c>
      <c r="H1" s="201" t="s">
        <v>110</v>
      </c>
      <c r="I1" s="201" t="s">
        <v>121</v>
      </c>
      <c r="S1" s="183">
        <f>YEAR(F3)</f>
        <v>2023</v>
      </c>
      <c r="T1" s="183">
        <f>S1+1</f>
        <v>2024</v>
      </c>
      <c r="U1" s="183">
        <f>T1+1</f>
        <v>2025</v>
      </c>
      <c r="V1" s="183">
        <f>U1+1</f>
        <v>2026</v>
      </c>
      <c r="W1" s="183">
        <f>V1+1</f>
        <v>2027</v>
      </c>
      <c r="X1" s="183">
        <f>W1+1</f>
        <v>2028</v>
      </c>
      <c r="Y1" s="184" t="s">
        <v>104</v>
      </c>
    </row>
    <row r="2" spans="1:25" ht="41.25" customHeight="1" thickBot="1" x14ac:dyDescent="0.25">
      <c r="A2" s="198"/>
      <c r="B2" s="208"/>
      <c r="C2" s="206"/>
      <c r="D2" s="185" t="s">
        <v>112</v>
      </c>
      <c r="E2" s="185" t="s">
        <v>79</v>
      </c>
      <c r="F2" s="200"/>
      <c r="G2" s="202"/>
      <c r="H2" s="202"/>
      <c r="I2" s="202"/>
      <c r="R2" t="s">
        <v>105</v>
      </c>
      <c r="S2" s="184">
        <f t="shared" ref="S2:X2" si="0">DATE(S1,1,1)</f>
        <v>44927</v>
      </c>
      <c r="T2" s="184">
        <f t="shared" si="0"/>
        <v>45292</v>
      </c>
      <c r="U2" s="184">
        <f t="shared" si="0"/>
        <v>45658</v>
      </c>
      <c r="V2" s="184">
        <f t="shared" si="0"/>
        <v>46023</v>
      </c>
      <c r="W2" s="184">
        <f t="shared" si="0"/>
        <v>46388</v>
      </c>
      <c r="X2" s="184">
        <f t="shared" si="0"/>
        <v>46753</v>
      </c>
      <c r="Y2" s="184">
        <f>S2</f>
        <v>44927</v>
      </c>
    </row>
    <row r="3" spans="1:25" ht="31.5" customHeight="1" thickBot="1" x14ac:dyDescent="0.25">
      <c r="A3" s="186">
        <v>1</v>
      </c>
      <c r="B3" s="187" t="s">
        <v>189</v>
      </c>
      <c r="C3" s="188">
        <v>6530.15</v>
      </c>
      <c r="D3" s="189">
        <v>0</v>
      </c>
      <c r="E3" s="190">
        <v>0</v>
      </c>
      <c r="F3" s="191">
        <v>45119</v>
      </c>
      <c r="G3" s="192">
        <v>45484</v>
      </c>
      <c r="H3" s="193">
        <f>ROUND(NETWORKDAYS.INTL(F3,G3,11,Y2:Y4)/12,0)</f>
        <v>26</v>
      </c>
      <c r="I3" s="194">
        <f>ROUND(DAYS360(F3,G3)/12-H3,0)</f>
        <v>4</v>
      </c>
      <c r="R3" t="s">
        <v>106</v>
      </c>
      <c r="S3" s="184">
        <f t="shared" ref="S3:X3" si="1">DATE(S1,4,21)</f>
        <v>45037</v>
      </c>
      <c r="T3" s="184">
        <f t="shared" si="1"/>
        <v>45403</v>
      </c>
      <c r="U3" s="184">
        <f t="shared" si="1"/>
        <v>45768</v>
      </c>
      <c r="V3" s="184">
        <f t="shared" si="1"/>
        <v>46133</v>
      </c>
      <c r="W3" s="184">
        <f t="shared" si="1"/>
        <v>46498</v>
      </c>
      <c r="X3" s="184">
        <f t="shared" si="1"/>
        <v>46864</v>
      </c>
      <c r="Y3" s="184">
        <f t="shared" ref="Y3:Y4" si="2">S3</f>
        <v>45037</v>
      </c>
    </row>
    <row r="4" spans="1:25" ht="31.5" customHeight="1" x14ac:dyDescent="0.25">
      <c r="A4" s="186">
        <v>2</v>
      </c>
      <c r="B4" s="187" t="s">
        <v>179</v>
      </c>
      <c r="C4" s="188">
        <v>2337.12</v>
      </c>
      <c r="D4" s="189">
        <v>0</v>
      </c>
      <c r="E4" s="190">
        <v>0</v>
      </c>
      <c r="I4" s="196"/>
      <c r="R4" t="s">
        <v>107</v>
      </c>
      <c r="S4" s="184">
        <f t="shared" ref="S4:X4" si="3">DATE(S1,5,1)</f>
        <v>45047</v>
      </c>
      <c r="T4" s="184">
        <f t="shared" si="3"/>
        <v>45413</v>
      </c>
      <c r="U4" s="184">
        <f t="shared" si="3"/>
        <v>45778</v>
      </c>
      <c r="V4" s="184">
        <f t="shared" si="3"/>
        <v>46143</v>
      </c>
      <c r="W4" s="184">
        <f t="shared" si="3"/>
        <v>46508</v>
      </c>
      <c r="X4" s="184">
        <f t="shared" si="3"/>
        <v>46874</v>
      </c>
      <c r="Y4" s="184">
        <f t="shared" si="2"/>
        <v>45047</v>
      </c>
    </row>
  </sheetData>
  <sheetProtection algorithmName="SHA-512" hashValue="2qJFeRoaLtz6C0xHl8hYY/WT94InmE3MsmSKdeq0iRs8hAVAPNA7VW0F61w+X0V/AL5Vpc6OJxnXJXcP0lA+og==" saltValue="FCRba/AjkwYkZob4K4TbWg==" spinCount="100000" sheet="1" objects="1" scenarios="1"/>
  <sortState xmlns:xlrd2="http://schemas.microsoft.com/office/spreadsheetml/2017/richdata2" ref="A4:E11">
    <sortCondition ref="B4:B11"/>
  </sortState>
  <mergeCells count="8">
    <mergeCell ref="A1:A2"/>
    <mergeCell ref="F1:F2"/>
    <mergeCell ref="G1:G2"/>
    <mergeCell ref="H1:H2"/>
    <mergeCell ref="I1:I2"/>
    <mergeCell ref="D1:E1"/>
    <mergeCell ref="C1:C2"/>
    <mergeCell ref="B1:B2"/>
  </mergeCells>
  <dataValidations count="2">
    <dataValidation type="decimal" operator="greaterThanOrEqual" allowBlank="1" showInputMessage="1" showErrorMessage="1" errorTitle="ATENÇÃO" error="O valor tem de ser igual ou superior a R$2.812,60" sqref="C3" xr:uid="{00000000-0002-0000-0000-000000000000}">
      <formula1>2812.6</formula1>
    </dataValidation>
    <dataValidation type="decimal" operator="greaterThanOrEqual" allowBlank="1" showInputMessage="1" showErrorMessage="1" errorTitle="ATENÇÃO" error="O valor tem de ser igual o superior a R$1.894,45" sqref="C4" xr:uid="{00000000-0002-0000-0000-000001000000}">
      <formula1>1894.45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tabSelected="1" zoomScaleNormal="100" workbookViewId="0">
      <selection activeCell="B4" sqref="B4"/>
    </sheetView>
  </sheetViews>
  <sheetFormatPr defaultColWidth="8.85546875" defaultRowHeight="12.75" x14ac:dyDescent="0.2"/>
  <cols>
    <col min="1" max="1" width="85.5703125" style="116" customWidth="1"/>
    <col min="2" max="2" width="25.5703125" style="127" customWidth="1"/>
    <col min="3" max="3" width="52" style="116" customWidth="1"/>
    <col min="4" max="4" width="8.85546875" style="116"/>
    <col min="5" max="6" width="9.5703125" style="116" bestFit="1" customWidth="1"/>
    <col min="7" max="16384" width="8.85546875" style="116"/>
  </cols>
  <sheetData>
    <row r="1" spans="1:3" s="109" customFormat="1" ht="33.6" customHeight="1" thickBot="1" x14ac:dyDescent="0.3">
      <c r="A1" s="209" t="s">
        <v>173</v>
      </c>
      <c r="B1" s="210"/>
      <c r="C1" s="211"/>
    </row>
    <row r="2" spans="1:3" s="109" customFormat="1" ht="16.5" thickTop="1" thickBot="1" x14ac:dyDescent="0.25">
      <c r="A2" s="128"/>
      <c r="B2" s="130"/>
      <c r="C2" s="112"/>
    </row>
    <row r="3" spans="1:3" s="109" customFormat="1" ht="14.25" thickTop="1" thickBot="1" x14ac:dyDescent="0.25">
      <c r="A3" s="110" t="s">
        <v>171</v>
      </c>
      <c r="B3" s="110"/>
      <c r="C3" s="132" t="s">
        <v>203</v>
      </c>
    </row>
    <row r="4" spans="1:3" s="109" customFormat="1" ht="14.25" thickTop="1" thickBot="1" x14ac:dyDescent="0.25">
      <c r="A4" s="113"/>
      <c r="B4" s="114"/>
      <c r="C4" s="133"/>
    </row>
    <row r="5" spans="1:3" s="109" customFormat="1" ht="14.25" thickTop="1" thickBot="1" x14ac:dyDescent="0.25">
      <c r="A5" s="113"/>
      <c r="B5" s="114"/>
      <c r="C5" s="133"/>
    </row>
    <row r="6" spans="1:3" s="109" customFormat="1" ht="14.25" thickTop="1" thickBot="1" x14ac:dyDescent="0.25">
      <c r="A6" s="131"/>
      <c r="B6" s="111"/>
      <c r="C6" s="134"/>
    </row>
    <row r="7" spans="1:3" s="109" customFormat="1" ht="16.5" thickTop="1" thickBot="1" x14ac:dyDescent="0.25">
      <c r="A7" s="136" t="s">
        <v>170</v>
      </c>
      <c r="B7" s="137">
        <f>SUM(B4:B6)</f>
        <v>0</v>
      </c>
      <c r="C7" s="135"/>
    </row>
    <row r="8" spans="1:3" s="109" customFormat="1" ht="16.5" thickTop="1" thickBot="1" x14ac:dyDescent="0.25">
      <c r="A8" s="138"/>
      <c r="B8" s="139"/>
      <c r="C8" s="129"/>
    </row>
    <row r="9" spans="1:3" ht="15.75" customHeight="1" thickTop="1" thickBot="1" x14ac:dyDescent="0.3">
      <c r="A9" s="118"/>
      <c r="B9" s="119"/>
      <c r="C9" s="120"/>
    </row>
    <row r="10" spans="1:3" ht="16.5" thickTop="1" thickBot="1" x14ac:dyDescent="0.3">
      <c r="A10" s="121" t="s">
        <v>150</v>
      </c>
      <c r="B10" s="122" t="s">
        <v>151</v>
      </c>
      <c r="C10" s="120"/>
    </row>
    <row r="11" spans="1:3" ht="16.5" thickTop="1" thickBot="1" x14ac:dyDescent="0.3">
      <c r="A11" s="113"/>
      <c r="B11" s="123"/>
      <c r="C11" s="120"/>
    </row>
    <row r="12" spans="1:3" ht="16.5" thickTop="1" thickBot="1" x14ac:dyDescent="0.3">
      <c r="A12" s="113"/>
      <c r="B12" s="123"/>
      <c r="C12" s="120"/>
    </row>
    <row r="13" spans="1:3" ht="16.5" thickTop="1" thickBot="1" x14ac:dyDescent="0.3">
      <c r="A13" s="113"/>
      <c r="B13" s="123"/>
      <c r="C13" s="120"/>
    </row>
    <row r="14" spans="1:3" ht="16.5" thickTop="1" thickBot="1" x14ac:dyDescent="0.3">
      <c r="A14" s="113"/>
      <c r="B14" s="123"/>
      <c r="C14" s="120"/>
    </row>
    <row r="15" spans="1:3" ht="16.5" thickTop="1" thickBot="1" x14ac:dyDescent="0.3">
      <c r="A15" s="115"/>
      <c r="B15" s="124"/>
      <c r="C15" s="120"/>
    </row>
    <row r="16" spans="1:3" ht="16.5" thickTop="1" thickBot="1" x14ac:dyDescent="0.3">
      <c r="A16" s="115"/>
      <c r="B16" s="124"/>
      <c r="C16" s="120"/>
    </row>
    <row r="17" spans="1:3" ht="16.5" thickTop="1" thickBot="1" x14ac:dyDescent="0.3">
      <c r="A17" s="115"/>
      <c r="B17" s="124"/>
      <c r="C17" s="120"/>
    </row>
    <row r="18" spans="1:3" ht="16.5" thickTop="1" thickBot="1" x14ac:dyDescent="0.3">
      <c r="A18" s="115"/>
      <c r="B18" s="124"/>
      <c r="C18" s="120"/>
    </row>
    <row r="19" spans="1:3" ht="16.5" thickTop="1" thickBot="1" x14ac:dyDescent="0.3">
      <c r="A19" s="115"/>
      <c r="B19" s="124"/>
      <c r="C19" s="120"/>
    </row>
    <row r="20" spans="1:3" ht="16.5" thickTop="1" thickBot="1" x14ac:dyDescent="0.3">
      <c r="A20" s="115"/>
      <c r="B20" s="124"/>
      <c r="C20" s="120"/>
    </row>
    <row r="21" spans="1:3" ht="16.5" thickTop="1" thickBot="1" x14ac:dyDescent="0.3">
      <c r="A21" s="117" t="s">
        <v>152</v>
      </c>
      <c r="B21" s="125">
        <f>SUM(B11:B20)</f>
        <v>0</v>
      </c>
      <c r="C21" s="120"/>
    </row>
    <row r="22" spans="1:3" ht="13.5" thickTop="1" x14ac:dyDescent="0.2">
      <c r="A22" s="126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tabColor theme="2" tint="-0.89999084444715716"/>
    <pageSetUpPr fitToPage="1"/>
  </sheetPr>
  <dimension ref="A2:L43"/>
  <sheetViews>
    <sheetView showGridLines="0" zoomScale="90" zoomScaleNormal="90" zoomScaleSheetLayoutView="80" workbookViewId="0">
      <selection activeCell="C12" sqref="C12"/>
    </sheetView>
  </sheetViews>
  <sheetFormatPr defaultColWidth="9.140625" defaultRowHeight="12.75" x14ac:dyDescent="0.2"/>
  <cols>
    <col min="1" max="1" width="7" customWidth="1"/>
    <col min="2" max="2" width="74.5703125" customWidth="1"/>
    <col min="3" max="3" width="16.5703125" style="175" customWidth="1"/>
    <col min="4" max="4" width="14.5703125" style="175" customWidth="1"/>
    <col min="5" max="5" width="14.85546875" style="175" customWidth="1"/>
    <col min="6" max="6" width="13.5703125" style="175" customWidth="1"/>
    <col min="7" max="7" width="15.5703125" style="175" bestFit="1" customWidth="1"/>
    <col min="8" max="8" width="18.85546875" customWidth="1"/>
    <col min="9" max="9" width="19" customWidth="1"/>
    <col min="10" max="10" width="18.42578125" bestFit="1" customWidth="1"/>
    <col min="11" max="11" width="16.5703125" customWidth="1"/>
  </cols>
  <sheetData>
    <row r="2" spans="1:12" ht="25.5" customHeight="1" x14ac:dyDescent="0.2">
      <c r="B2" s="217" t="s">
        <v>0</v>
      </c>
      <c r="C2" s="218"/>
      <c r="D2" s="218"/>
      <c r="E2" s="218"/>
      <c r="F2" s="218"/>
      <c r="G2" s="219"/>
    </row>
    <row r="3" spans="1:12" x14ac:dyDescent="0.2">
      <c r="B3" s="143"/>
      <c r="C3" s="144"/>
      <c r="D3" s="144"/>
      <c r="E3" s="144"/>
      <c r="F3" s="144"/>
      <c r="G3" s="144"/>
    </row>
    <row r="4" spans="1:12" ht="19.5" customHeight="1" x14ac:dyDescent="0.2">
      <c r="B4" s="221" t="s">
        <v>100</v>
      </c>
      <c r="C4" s="222"/>
      <c r="D4" s="222"/>
      <c r="E4" s="222"/>
      <c r="F4" s="222"/>
      <c r="G4" s="223"/>
    </row>
    <row r="5" spans="1:12" x14ac:dyDescent="0.2">
      <c r="B5" s="145"/>
      <c r="C5" s="146"/>
      <c r="D5" s="146"/>
      <c r="E5" s="146"/>
      <c r="F5" s="146"/>
      <c r="G5" s="146"/>
    </row>
    <row r="6" spans="1:12" s="146" customFormat="1" ht="34.5" customHeight="1" x14ac:dyDescent="0.2">
      <c r="A6" s="147" t="s">
        <v>99</v>
      </c>
      <c r="B6" s="147" t="s">
        <v>1</v>
      </c>
      <c r="C6" s="147" t="s">
        <v>2</v>
      </c>
      <c r="D6" s="147" t="s">
        <v>3</v>
      </c>
      <c r="E6" s="147" t="s">
        <v>4</v>
      </c>
      <c r="F6" s="147" t="s">
        <v>5</v>
      </c>
      <c r="G6" s="147" t="s">
        <v>6</v>
      </c>
    </row>
    <row r="7" spans="1:12" s="146" customFormat="1" ht="18.75" customHeight="1" x14ac:dyDescent="0.2">
      <c r="A7" s="148">
        <v>1</v>
      </c>
      <c r="B7" s="149" t="str">
        <f>Variáveis!B3</f>
        <v xml:space="preserve">COORDENADOR(A) DE SERVIÇOS DE ARQUIVO </v>
      </c>
      <c r="C7" s="150">
        <f>Variáveis!C3</f>
        <v>6530.15</v>
      </c>
      <c r="D7" s="151">
        <f>'Posto 1'!$D$79</f>
        <v>11838.46</v>
      </c>
      <c r="E7" s="152">
        <v>1</v>
      </c>
      <c r="F7" s="151">
        <f t="shared" ref="F7:F8" si="0">E7*D7</f>
        <v>11838.46</v>
      </c>
      <c r="G7" s="151">
        <f t="shared" ref="G7:G8" si="1">F7*12</f>
        <v>142061.51999999999</v>
      </c>
    </row>
    <row r="8" spans="1:12" s="146" customFormat="1" ht="18.75" customHeight="1" x14ac:dyDescent="0.2">
      <c r="A8" s="148">
        <v>2</v>
      </c>
      <c r="B8" s="149" t="str">
        <f>Variáveis!B4</f>
        <v xml:space="preserve">AUXILIAR DE SERVIÇO DE ARQUIVO </v>
      </c>
      <c r="C8" s="150">
        <f>Variáveis!C4</f>
        <v>2337.12</v>
      </c>
      <c r="D8" s="151">
        <f>'Posto 2'!$D$79</f>
        <v>4980.0200000000004</v>
      </c>
      <c r="E8" s="152">
        <v>10</v>
      </c>
      <c r="F8" s="151">
        <f t="shared" si="0"/>
        <v>49800.200000000004</v>
      </c>
      <c r="G8" s="151">
        <f t="shared" si="1"/>
        <v>597602.4</v>
      </c>
    </row>
    <row r="9" spans="1:12" s="153" customFormat="1" ht="25.5" customHeight="1" x14ac:dyDescent="0.2">
      <c r="B9" s="220" t="s">
        <v>7</v>
      </c>
      <c r="C9" s="220"/>
      <c r="D9" s="220"/>
      <c r="E9" s="220"/>
      <c r="F9" s="154">
        <f>SUM(F7:F8)</f>
        <v>61638.66</v>
      </c>
      <c r="G9" s="154">
        <f>SUM(G7:G8)</f>
        <v>739663.92</v>
      </c>
    </row>
    <row r="10" spans="1:12" s="153" customFormat="1" ht="20.25" customHeight="1" x14ac:dyDescent="0.2">
      <c r="B10" s="155"/>
      <c r="C10" s="156"/>
      <c r="D10" s="156"/>
      <c r="E10" s="156"/>
      <c r="F10" s="157"/>
      <c r="G10" s="158"/>
    </row>
    <row r="11" spans="1:12" s="159" customFormat="1" ht="15" x14ac:dyDescent="0.2">
      <c r="B11" s="160" t="s">
        <v>116</v>
      </c>
      <c r="C11" s="161" t="s">
        <v>8</v>
      </c>
      <c r="D11" s="162"/>
      <c r="E11"/>
      <c r="F11"/>
      <c r="G11"/>
      <c r="H11"/>
      <c r="I11"/>
      <c r="J11"/>
      <c r="K11"/>
      <c r="L11"/>
    </row>
    <row r="12" spans="1:12" ht="14.25" x14ac:dyDescent="0.2">
      <c r="B12" s="163" t="s">
        <v>114</v>
      </c>
      <c r="C12" s="105"/>
      <c r="D12" s="164"/>
      <c r="E12"/>
      <c r="F12"/>
      <c r="G12"/>
    </row>
    <row r="13" spans="1:12" ht="16.5" customHeight="1" x14ac:dyDescent="0.2">
      <c r="B13" s="163" t="s">
        <v>9</v>
      </c>
      <c r="C13" s="182">
        <f>'CUSTOS DE VALOR SUBJETIVO'!B21</f>
        <v>0</v>
      </c>
      <c r="D13" s="165"/>
      <c r="E13"/>
      <c r="F13"/>
      <c r="G13"/>
    </row>
    <row r="14" spans="1:12" ht="12.75" customHeight="1" x14ac:dyDescent="0.2">
      <c r="B14" s="215"/>
      <c r="C14" s="215"/>
      <c r="D14" s="215"/>
      <c r="E14" s="215"/>
      <c r="F14" s="215"/>
      <c r="G14" s="215"/>
    </row>
    <row r="15" spans="1:12" ht="12.75" customHeight="1" x14ac:dyDescent="0.2">
      <c r="B15" s="166"/>
      <c r="C15" s="166"/>
      <c r="D15" s="166"/>
      <c r="E15" s="166"/>
      <c r="F15" s="166"/>
      <c r="G15" s="166"/>
    </row>
    <row r="16" spans="1:12" ht="16.5" customHeight="1" x14ac:dyDescent="0.2">
      <c r="B16" s="160" t="s">
        <v>80</v>
      </c>
      <c r="C16" s="148" t="s">
        <v>83</v>
      </c>
      <c r="D16" s="167"/>
      <c r="E16"/>
      <c r="F16"/>
      <c r="G16"/>
    </row>
    <row r="17" spans="2:11" ht="16.5" customHeight="1" x14ac:dyDescent="0.2">
      <c r="B17" s="168" t="s">
        <v>143</v>
      </c>
      <c r="C17" s="106"/>
      <c r="D17" s="167"/>
      <c r="E17"/>
      <c r="F17"/>
      <c r="G17"/>
    </row>
    <row r="18" spans="2:11" ht="16.5" customHeight="1" x14ac:dyDescent="0.2">
      <c r="B18" s="168" t="s">
        <v>144</v>
      </c>
      <c r="C18" s="107"/>
      <c r="D18" s="167"/>
      <c r="E18"/>
      <c r="F18"/>
      <c r="G18"/>
    </row>
    <row r="19" spans="2:11" ht="12.75" customHeight="1" x14ac:dyDescent="0.2">
      <c r="B19" s="166"/>
      <c r="C19" s="169"/>
      <c r="D19" s="170"/>
      <c r="E19" s="171"/>
      <c r="F19"/>
      <c r="G19"/>
    </row>
    <row r="20" spans="2:11" ht="24" customHeight="1" x14ac:dyDescent="0.2">
      <c r="B20" s="224"/>
      <c r="C20" s="224"/>
      <c r="D20" s="224"/>
      <c r="E20" s="224"/>
      <c r="F20"/>
      <c r="G20"/>
    </row>
    <row r="21" spans="2:11" ht="16.5" customHeight="1" x14ac:dyDescent="0.25">
      <c r="B21" s="172" t="s">
        <v>81</v>
      </c>
      <c r="C21" s="148" t="s">
        <v>8</v>
      </c>
      <c r="D21" s="173"/>
      <c r="E21"/>
      <c r="F21"/>
      <c r="G21"/>
    </row>
    <row r="22" spans="2:11" ht="16.5" customHeight="1" x14ac:dyDescent="0.2">
      <c r="B22" s="174" t="s">
        <v>149</v>
      </c>
      <c r="C22" s="108"/>
      <c r="D22" s="173"/>
      <c r="G22" s="176"/>
    </row>
    <row r="23" spans="2:11" ht="13.5" customHeight="1" x14ac:dyDescent="0.2">
      <c r="B23" s="177"/>
      <c r="C23" s="167"/>
      <c r="D23" s="177"/>
      <c r="E23"/>
      <c r="F23"/>
      <c r="G23"/>
    </row>
    <row r="24" spans="2:11" s="145" customFormat="1" ht="16.5" customHeight="1" x14ac:dyDescent="0.25">
      <c r="B24" s="178" t="s">
        <v>82</v>
      </c>
      <c r="C24" s="161" t="s">
        <v>8</v>
      </c>
      <c r="D24" s="162"/>
      <c r="E24" s="36"/>
      <c r="F24" s="36"/>
      <c r="G24" s="36"/>
      <c r="H24" s="36"/>
      <c r="I24" s="36"/>
      <c r="J24" s="36"/>
      <c r="K24" s="34"/>
    </row>
    <row r="25" spans="2:11" ht="16.5" customHeight="1" x14ac:dyDescent="0.2">
      <c r="B25" s="163" t="s">
        <v>10</v>
      </c>
      <c r="C25" s="105"/>
      <c r="D25" s="167"/>
      <c r="E25" s="36"/>
      <c r="F25" s="36"/>
      <c r="G25" s="36"/>
      <c r="H25" s="36"/>
      <c r="I25" s="36"/>
      <c r="J25" s="36"/>
      <c r="K25" s="34"/>
    </row>
    <row r="26" spans="2:11" ht="16.5" customHeight="1" x14ac:dyDescent="0.2">
      <c r="B26" s="163" t="s">
        <v>11</v>
      </c>
      <c r="C26" s="105"/>
      <c r="D26" s="167"/>
      <c r="E26" s="36"/>
      <c r="F26" s="36"/>
      <c r="G26" s="36"/>
      <c r="H26" s="36"/>
      <c r="I26" s="36"/>
      <c r="J26" s="36"/>
    </row>
    <row r="27" spans="2:11" ht="16.5" customHeight="1" x14ac:dyDescent="0.2">
      <c r="B27" s="163" t="s">
        <v>12</v>
      </c>
      <c r="C27" s="105"/>
      <c r="D27" s="167"/>
    </row>
    <row r="29" spans="2:11" ht="25.5" customHeight="1" x14ac:dyDescent="0.2">
      <c r="B29" s="215" t="s">
        <v>13</v>
      </c>
      <c r="C29" s="216"/>
      <c r="D29" s="216"/>
      <c r="E29" s="216"/>
      <c r="F29" s="216"/>
      <c r="G29" s="216"/>
      <c r="H29" s="215"/>
      <c r="I29" s="216"/>
      <c r="J29" s="216"/>
    </row>
    <row r="31" spans="2:11" s="181" customFormat="1" ht="23.25" customHeight="1" x14ac:dyDescent="0.25">
      <c r="B31" s="179"/>
      <c r="C31" s="180"/>
      <c r="D31" s="180"/>
      <c r="E31" s="180"/>
      <c r="F31" s="180"/>
      <c r="G31" s="180"/>
    </row>
    <row r="32" spans="2:11" s="181" customFormat="1" ht="14.25" customHeight="1" x14ac:dyDescent="0.25">
      <c r="B32" s="179"/>
      <c r="C32" s="180"/>
      <c r="D32" s="180"/>
      <c r="E32" s="180"/>
      <c r="F32" s="180"/>
      <c r="G32" s="180"/>
    </row>
    <row r="33" spans="1:7" ht="23.25" customHeight="1" x14ac:dyDescent="0.2">
      <c r="A33" s="34"/>
      <c r="B33" s="213"/>
      <c r="C33" s="213"/>
      <c r="D33" s="213"/>
      <c r="E33" s="213"/>
      <c r="F33" s="213"/>
      <c r="G33" s="213"/>
    </row>
    <row r="34" spans="1:7" ht="34.5" customHeight="1" x14ac:dyDescent="0.2">
      <c r="B34" s="213"/>
      <c r="C34" s="213"/>
      <c r="D34" s="213"/>
      <c r="E34" s="213"/>
      <c r="F34" s="213"/>
      <c r="G34" s="213"/>
    </row>
    <row r="35" spans="1:7" ht="36.75" customHeight="1" x14ac:dyDescent="0.2">
      <c r="A35" s="34"/>
      <c r="B35" s="213"/>
      <c r="C35" s="213"/>
      <c r="D35" s="213"/>
      <c r="E35" s="213"/>
      <c r="F35" s="213"/>
      <c r="G35" s="213"/>
    </row>
    <row r="36" spans="1:7" ht="36.75" customHeight="1" x14ac:dyDescent="0.2">
      <c r="A36" s="34"/>
      <c r="B36" s="213"/>
      <c r="C36" s="213"/>
      <c r="D36" s="213"/>
      <c r="E36" s="213"/>
      <c r="F36" s="213"/>
      <c r="G36" s="213"/>
    </row>
    <row r="38" spans="1:7" s="181" customFormat="1" ht="23.25" customHeight="1" x14ac:dyDescent="0.25">
      <c r="B38" s="179"/>
      <c r="C38" s="180"/>
      <c r="D38" s="180"/>
      <c r="E38" s="180"/>
      <c r="F38" s="180"/>
      <c r="G38" s="180"/>
    </row>
    <row r="40" spans="1:7" ht="22.5" customHeight="1" x14ac:dyDescent="0.2">
      <c r="B40" s="212"/>
      <c r="C40" s="212"/>
      <c r="D40" s="212"/>
      <c r="E40" s="212"/>
      <c r="F40" s="212"/>
      <c r="G40" s="212"/>
    </row>
    <row r="41" spans="1:7" ht="36" customHeight="1" x14ac:dyDescent="0.2">
      <c r="B41" s="213"/>
      <c r="C41" s="213"/>
      <c r="D41" s="213"/>
      <c r="E41" s="213"/>
      <c r="F41" s="213"/>
      <c r="G41" s="213"/>
    </row>
    <row r="42" spans="1:7" ht="35.25" customHeight="1" x14ac:dyDescent="0.2">
      <c r="B42" s="213"/>
      <c r="C42" s="213"/>
      <c r="D42" s="213"/>
      <c r="E42" s="213"/>
      <c r="F42" s="213"/>
      <c r="G42" s="213"/>
    </row>
    <row r="43" spans="1:7" ht="36" customHeight="1" x14ac:dyDescent="0.2">
      <c r="B43" s="214"/>
      <c r="C43" s="214"/>
      <c r="D43" s="214"/>
      <c r="E43" s="214"/>
      <c r="F43" s="214"/>
      <c r="G43" s="214"/>
    </row>
  </sheetData>
  <sheetProtection algorithmName="SHA-512" hashValue="ZV9bvNcHOZ2Bv9137/LAOekJcCNDIhg2elB5cmt4d0XEty8vhYa9gePNc5tAiBVw89Hf6uu26lu1DWu5IguA1A==" saltValue="GFlKOzOlrvgrDRS12YCqyg==" spinCount="100000" sheet="1" objects="1" scenarios="1"/>
  <sortState xmlns:xlrd2="http://schemas.microsoft.com/office/spreadsheetml/2017/richdata2" ref="A7:G26">
    <sortCondition ref="B7:B26"/>
  </sortState>
  <mergeCells count="15">
    <mergeCell ref="B35:G35"/>
    <mergeCell ref="H29:J29"/>
    <mergeCell ref="B14:G14"/>
    <mergeCell ref="B2:G2"/>
    <mergeCell ref="B9:E9"/>
    <mergeCell ref="B4:G4"/>
    <mergeCell ref="B20:E20"/>
    <mergeCell ref="B34:G34"/>
    <mergeCell ref="B33:G33"/>
    <mergeCell ref="B29:G29"/>
    <mergeCell ref="B40:G40"/>
    <mergeCell ref="B41:G41"/>
    <mergeCell ref="B42:G42"/>
    <mergeCell ref="B43:G43"/>
    <mergeCell ref="B36:G36"/>
  </mergeCells>
  <conditionalFormatting sqref="C12">
    <cfRule type="expression" dxfId="7" priority="12">
      <formula>ISBLANK($C$12)</formula>
    </cfRule>
  </conditionalFormatting>
  <conditionalFormatting sqref="C13">
    <cfRule type="expression" dxfId="6" priority="11">
      <formula>ISBLANK($C$13)</formula>
    </cfRule>
  </conditionalFormatting>
  <conditionalFormatting sqref="C22">
    <cfRule type="expression" dxfId="5" priority="6">
      <formula>ISBLANK($C$22)</formula>
    </cfRule>
  </conditionalFormatting>
  <conditionalFormatting sqref="C25">
    <cfRule type="expression" dxfId="4" priority="5">
      <formula>ISBLANK($C$25)</formula>
    </cfRule>
  </conditionalFormatting>
  <conditionalFormatting sqref="C26">
    <cfRule type="expression" dxfId="3" priority="4">
      <formula>ISBLANK($C$26)</formula>
    </cfRule>
  </conditionalFormatting>
  <conditionalFormatting sqref="C27">
    <cfRule type="expression" dxfId="2" priority="2">
      <formula>ISBLANK($C$27)</formula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ignoredErrors>
    <ignoredError sqref="C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tabColor theme="7" tint="-0.249977111117893"/>
    <pageSetUpPr fitToPage="1"/>
  </sheetPr>
  <dimension ref="A1:E80"/>
  <sheetViews>
    <sheetView showGridLines="0" zoomScale="90" zoomScaleNormal="90" workbookViewId="0">
      <selection sqref="A1:E1"/>
    </sheetView>
  </sheetViews>
  <sheetFormatPr defaultColWidth="9.140625" defaultRowHeight="12.75" x14ac:dyDescent="0.2"/>
  <cols>
    <col min="1" max="1" width="68.5703125" style="21" customWidth="1"/>
    <col min="2" max="2" width="15.140625" style="21" customWidth="1"/>
    <col min="3" max="3" width="60.85546875" style="21" customWidth="1"/>
    <col min="4" max="4" width="13.5703125" style="25" customWidth="1"/>
    <col min="5" max="5" width="63.85546875" style="21" customWidth="1"/>
    <col min="6" max="6" width="2.42578125" style="21" customWidth="1"/>
    <col min="7" max="16384" width="9.140625" style="21"/>
  </cols>
  <sheetData>
    <row r="1" spans="1:5" ht="20.25" thickBot="1" x14ac:dyDescent="0.25">
      <c r="A1" s="233" t="str">
        <f>"PLANILHA DE COMPOSIÇÃO DE CUSTOS E FORMAÇÃO DE PREÇOS - " &amp; 'Quadro Resumo'!B7</f>
        <v xml:space="preserve">PLANILHA DE COMPOSIÇÃO DE CUSTOS E FORMAÇÃO DE PREÇOS - COORDENADOR(A) DE SERVIÇOS DE ARQUIVO </v>
      </c>
      <c r="B1" s="234"/>
      <c r="C1" s="234"/>
      <c r="D1" s="234"/>
      <c r="E1" s="235"/>
    </row>
    <row r="2" spans="1:5" ht="20.25" thickBot="1" x14ac:dyDescent="0.25">
      <c r="A2" s="18"/>
      <c r="B2" s="19"/>
      <c r="C2" s="19"/>
      <c r="D2" s="22"/>
      <c r="E2" s="20"/>
    </row>
    <row r="3" spans="1:5" ht="17.25" customHeight="1" x14ac:dyDescent="0.2">
      <c r="A3" s="239" t="s">
        <v>181</v>
      </c>
      <c r="B3" s="240"/>
      <c r="C3" s="241"/>
      <c r="D3" s="1" t="s">
        <v>14</v>
      </c>
      <c r="E3" s="1" t="s">
        <v>15</v>
      </c>
    </row>
    <row r="4" spans="1:5" ht="17.25" customHeight="1" thickBot="1" x14ac:dyDescent="0.25">
      <c r="A4" s="35" t="str">
        <f>'Quadro Resumo'!B7</f>
        <v xml:space="preserve">COORDENADOR(A) DE SERVIÇOS DE ARQUIVO </v>
      </c>
      <c r="B4" s="37"/>
      <c r="C4" s="37" t="s">
        <v>16</v>
      </c>
      <c r="D4" s="70">
        <f>'Quadro Resumo'!C7</f>
        <v>6530.15</v>
      </c>
      <c r="E4" s="38" t="s">
        <v>15</v>
      </c>
    </row>
    <row r="5" spans="1:5" ht="13.5" thickBot="1" x14ac:dyDescent="0.25">
      <c r="A5" s="68"/>
      <c r="B5" s="78"/>
      <c r="C5" s="78"/>
      <c r="D5" s="39"/>
      <c r="E5" s="78"/>
    </row>
    <row r="6" spans="1:5" ht="17.25" customHeight="1" x14ac:dyDescent="0.2">
      <c r="A6" s="3" t="s">
        <v>17</v>
      </c>
      <c r="B6" s="1" t="s">
        <v>18</v>
      </c>
      <c r="C6" s="1" t="s">
        <v>19</v>
      </c>
      <c r="D6" s="23" t="s">
        <v>14</v>
      </c>
      <c r="E6" s="2" t="s">
        <v>20</v>
      </c>
    </row>
    <row r="7" spans="1:5" ht="17.25" customHeight="1" x14ac:dyDescent="0.2">
      <c r="A7" s="28" t="s">
        <v>21</v>
      </c>
      <c r="B7" s="58" t="s">
        <v>15</v>
      </c>
      <c r="C7" s="26" t="s">
        <v>15</v>
      </c>
      <c r="D7" s="71">
        <f>TRUNC(D4,2)</f>
        <v>6530.15</v>
      </c>
      <c r="E7" s="40"/>
    </row>
    <row r="8" spans="1:5" ht="16.5" customHeight="1" thickBot="1" x14ac:dyDescent="0.25">
      <c r="A8" s="4" t="s">
        <v>22</v>
      </c>
      <c r="B8" s="5" t="s">
        <v>15</v>
      </c>
      <c r="C8" s="6" t="s">
        <v>23</v>
      </c>
      <c r="D8" s="72">
        <f>SUM(D7:D7)</f>
        <v>6530.15</v>
      </c>
      <c r="E8" s="7" t="s">
        <v>15</v>
      </c>
    </row>
    <row r="9" spans="1:5" ht="13.5" customHeight="1" thickBot="1" x14ac:dyDescent="0.25">
      <c r="A9" s="41"/>
      <c r="B9" s="42"/>
      <c r="C9" s="43"/>
      <c r="D9" s="39"/>
      <c r="E9" s="78"/>
    </row>
    <row r="10" spans="1:5" ht="16.5" customHeight="1" thickBot="1" x14ac:dyDescent="0.25">
      <c r="A10" s="225" t="s">
        <v>24</v>
      </c>
      <c r="B10" s="226"/>
      <c r="C10" s="226"/>
      <c r="D10" s="226"/>
      <c r="E10" s="227"/>
    </row>
    <row r="11" spans="1:5" ht="16.5" customHeight="1" x14ac:dyDescent="0.2">
      <c r="A11" s="3" t="s">
        <v>25</v>
      </c>
      <c r="B11" s="1" t="s">
        <v>26</v>
      </c>
      <c r="C11" s="1" t="s">
        <v>19</v>
      </c>
      <c r="D11" s="23" t="s">
        <v>14</v>
      </c>
      <c r="E11" s="2" t="s">
        <v>20</v>
      </c>
    </row>
    <row r="12" spans="1:5" ht="16.5" customHeight="1" x14ac:dyDescent="0.2">
      <c r="A12" s="28" t="s">
        <v>27</v>
      </c>
      <c r="B12" s="44">
        <v>0.2</v>
      </c>
      <c r="C12" s="26" t="s">
        <v>28</v>
      </c>
      <c r="D12" s="73">
        <f>TRUNC(B12*$D$8,2)</f>
        <v>1306.03</v>
      </c>
      <c r="E12" s="45" t="s">
        <v>29</v>
      </c>
    </row>
    <row r="13" spans="1:5" ht="16.5" customHeight="1" x14ac:dyDescent="0.2">
      <c r="A13" s="28" t="s">
        <v>30</v>
      </c>
      <c r="B13" s="44">
        <v>0.08</v>
      </c>
      <c r="C13" s="26" t="s">
        <v>31</v>
      </c>
      <c r="D13" s="73">
        <f t="shared" ref="D13:D19" si="0">TRUNC(B13*$D$8,2)</f>
        <v>522.41</v>
      </c>
      <c r="E13" s="46" t="s">
        <v>192</v>
      </c>
    </row>
    <row r="14" spans="1:5" ht="17.25" customHeight="1" x14ac:dyDescent="0.2">
      <c r="A14" s="28" t="s">
        <v>32</v>
      </c>
      <c r="B14" s="44">
        <v>1.4999999999999999E-2</v>
      </c>
      <c r="C14" s="26" t="s">
        <v>33</v>
      </c>
      <c r="D14" s="73">
        <f t="shared" si="0"/>
        <v>97.95</v>
      </c>
      <c r="E14" s="46" t="s">
        <v>34</v>
      </c>
    </row>
    <row r="15" spans="1:5" ht="17.25" customHeight="1" x14ac:dyDescent="0.2">
      <c r="A15" s="28" t="s">
        <v>35</v>
      </c>
      <c r="B15" s="44">
        <v>0.01</v>
      </c>
      <c r="C15" s="26" t="s">
        <v>36</v>
      </c>
      <c r="D15" s="73">
        <f t="shared" si="0"/>
        <v>65.3</v>
      </c>
      <c r="E15" s="46" t="s">
        <v>37</v>
      </c>
    </row>
    <row r="16" spans="1:5" ht="17.25" customHeight="1" x14ac:dyDescent="0.2">
      <c r="A16" s="28" t="s">
        <v>38</v>
      </c>
      <c r="B16" s="44">
        <v>2E-3</v>
      </c>
      <c r="C16" s="26" t="s">
        <v>39</v>
      </c>
      <c r="D16" s="73">
        <f t="shared" si="0"/>
        <v>13.06</v>
      </c>
      <c r="E16" s="46" t="s">
        <v>40</v>
      </c>
    </row>
    <row r="17" spans="1:5" ht="17.25" customHeight="1" x14ac:dyDescent="0.2">
      <c r="A17" s="28" t="s">
        <v>41</v>
      </c>
      <c r="B17" s="44">
        <v>6.0000000000000001E-3</v>
      </c>
      <c r="C17" s="26" t="s">
        <v>42</v>
      </c>
      <c r="D17" s="73">
        <f t="shared" si="0"/>
        <v>39.18</v>
      </c>
      <c r="E17" s="46" t="s">
        <v>193</v>
      </c>
    </row>
    <row r="18" spans="1:5" ht="17.25" customHeight="1" x14ac:dyDescent="0.2">
      <c r="A18" s="28" t="s">
        <v>44</v>
      </c>
      <c r="B18" s="44">
        <v>2.5000000000000001E-2</v>
      </c>
      <c r="C18" s="26" t="s">
        <v>45</v>
      </c>
      <c r="D18" s="73">
        <f t="shared" si="0"/>
        <v>163.25</v>
      </c>
      <c r="E18" s="46" t="s">
        <v>46</v>
      </c>
    </row>
    <row r="19" spans="1:5" ht="17.25" customHeight="1" x14ac:dyDescent="0.2">
      <c r="A19" s="47" t="s">
        <v>47</v>
      </c>
      <c r="B19" s="69">
        <f>'Quadro Resumo'!C22</f>
        <v>0</v>
      </c>
      <c r="C19" s="26" t="s">
        <v>48</v>
      </c>
      <c r="D19" s="73">
        <f t="shared" si="0"/>
        <v>0</v>
      </c>
      <c r="E19" s="46" t="s">
        <v>194</v>
      </c>
    </row>
    <row r="20" spans="1:5" ht="17.25" customHeight="1" thickBot="1" x14ac:dyDescent="0.25">
      <c r="A20" s="4" t="s">
        <v>49</v>
      </c>
      <c r="B20" s="33">
        <f>SUM(B12:B19)</f>
        <v>0.33800000000000008</v>
      </c>
      <c r="C20" s="5" t="s">
        <v>23</v>
      </c>
      <c r="D20" s="74">
        <f>SUM(D12:D19)</f>
        <v>2207.1800000000003</v>
      </c>
      <c r="E20" s="7" t="s">
        <v>15</v>
      </c>
    </row>
    <row r="21" spans="1:5" ht="13.5" thickBot="1" x14ac:dyDescent="0.25">
      <c r="A21" s="68"/>
      <c r="B21" s="78"/>
      <c r="C21" s="78"/>
      <c r="D21" s="39"/>
      <c r="E21" s="48"/>
    </row>
    <row r="22" spans="1:5" ht="15.75" customHeight="1" x14ac:dyDescent="0.2">
      <c r="A22" s="3" t="s">
        <v>87</v>
      </c>
      <c r="B22" s="1" t="s">
        <v>26</v>
      </c>
      <c r="C22" s="1" t="s">
        <v>19</v>
      </c>
      <c r="D22" s="23" t="s">
        <v>14</v>
      </c>
      <c r="E22" s="2" t="s">
        <v>20</v>
      </c>
    </row>
    <row r="23" spans="1:5" ht="15.75" customHeight="1" x14ac:dyDescent="0.2">
      <c r="A23" s="28" t="s">
        <v>50</v>
      </c>
      <c r="B23" s="44">
        <f>(1/12)</f>
        <v>8.3333333333333329E-2</v>
      </c>
      <c r="C23" s="26" t="s">
        <v>93</v>
      </c>
      <c r="D23" s="73">
        <f>TRUNC(B23*$D$8,2)</f>
        <v>544.16999999999996</v>
      </c>
      <c r="E23" s="46" t="s">
        <v>51</v>
      </c>
    </row>
    <row r="24" spans="1:5" ht="15.75" customHeight="1" x14ac:dyDescent="0.2">
      <c r="A24" s="29" t="s">
        <v>85</v>
      </c>
      <c r="B24" s="49">
        <f>B20*B23</f>
        <v>2.8166666666666673E-2</v>
      </c>
      <c r="C24" s="58" t="s">
        <v>94</v>
      </c>
      <c r="D24" s="73">
        <f>TRUNC(B24*$D$8,2)</f>
        <v>183.93</v>
      </c>
      <c r="E24" s="62" t="s">
        <v>195</v>
      </c>
    </row>
    <row r="25" spans="1:5" ht="16.5" customHeight="1" thickBot="1" x14ac:dyDescent="0.25">
      <c r="A25" s="4" t="s">
        <v>52</v>
      </c>
      <c r="B25" s="33">
        <f>SUM(B23:B24)</f>
        <v>0.1115</v>
      </c>
      <c r="C25" s="5" t="s">
        <v>23</v>
      </c>
      <c r="D25" s="74">
        <f>SUM(D23:D24)</f>
        <v>728.09999999999991</v>
      </c>
      <c r="E25" s="7" t="s">
        <v>15</v>
      </c>
    </row>
    <row r="26" spans="1:5" ht="13.5" thickBot="1" x14ac:dyDescent="0.25">
      <c r="A26" s="50"/>
      <c r="B26" s="51"/>
      <c r="C26" s="51"/>
      <c r="D26" s="52"/>
      <c r="E26" s="53"/>
    </row>
    <row r="27" spans="1:5" ht="17.25" customHeight="1" x14ac:dyDescent="0.2">
      <c r="A27" s="3" t="s">
        <v>53</v>
      </c>
      <c r="B27" s="1" t="s">
        <v>26</v>
      </c>
      <c r="C27" s="1" t="s">
        <v>19</v>
      </c>
      <c r="D27" s="23" t="s">
        <v>14</v>
      </c>
      <c r="E27" s="2" t="s">
        <v>20</v>
      </c>
    </row>
    <row r="28" spans="1:5" ht="16.5" customHeight="1" x14ac:dyDescent="0.2">
      <c r="A28" s="28" t="s">
        <v>54</v>
      </c>
      <c r="B28" s="44">
        <f>1/12</f>
        <v>8.3333333333333329E-2</v>
      </c>
      <c r="C28" s="26" t="s">
        <v>93</v>
      </c>
      <c r="D28" s="73">
        <f t="shared" ref="D28:D35" si="1">TRUNC(B28*$D$8,2)</f>
        <v>544.16999999999996</v>
      </c>
      <c r="E28" s="46" t="s">
        <v>84</v>
      </c>
    </row>
    <row r="29" spans="1:5" ht="16.5" customHeight="1" x14ac:dyDescent="0.2">
      <c r="A29" s="28" t="s">
        <v>86</v>
      </c>
      <c r="B29" s="54">
        <f>(1/3)/12</f>
        <v>2.7777777777777776E-2</v>
      </c>
      <c r="C29" s="26" t="s">
        <v>103</v>
      </c>
      <c r="D29" s="73">
        <f t="shared" si="1"/>
        <v>181.39</v>
      </c>
      <c r="E29" s="46" t="s">
        <v>84</v>
      </c>
    </row>
    <row r="30" spans="1:5" ht="29.25" customHeight="1" x14ac:dyDescent="0.2">
      <c r="A30" s="28" t="s">
        <v>124</v>
      </c>
      <c r="B30" s="69">
        <f>D30/D8</f>
        <v>7.4301509153694798E-3</v>
      </c>
      <c r="C30" s="80" t="s">
        <v>174</v>
      </c>
      <c r="D30" s="71">
        <f>TRUNC((D62-(D57+D58))/12,2)</f>
        <v>48.52</v>
      </c>
      <c r="E30" s="46" t="s">
        <v>123</v>
      </c>
    </row>
    <row r="31" spans="1:5" ht="16.5" customHeight="1" x14ac:dyDescent="0.2">
      <c r="A31" s="28" t="s">
        <v>125</v>
      </c>
      <c r="B31" s="44">
        <f>(5.96/30)/12</f>
        <v>1.6555555555555556E-2</v>
      </c>
      <c r="C31" s="26" t="s">
        <v>115</v>
      </c>
      <c r="D31" s="73">
        <f t="shared" si="1"/>
        <v>108.11</v>
      </c>
      <c r="E31" s="46" t="s">
        <v>187</v>
      </c>
    </row>
    <row r="32" spans="1:5" ht="16.5" customHeight="1" x14ac:dyDescent="0.2">
      <c r="A32" s="28" t="s">
        <v>129</v>
      </c>
      <c r="B32" s="44">
        <f>(((15/30)/12)*0.01857)</f>
        <v>7.7374999999999992E-4</v>
      </c>
      <c r="C32" s="55" t="s">
        <v>182</v>
      </c>
      <c r="D32" s="73">
        <f t="shared" si="1"/>
        <v>5.05</v>
      </c>
      <c r="E32" s="46" t="s">
        <v>55</v>
      </c>
    </row>
    <row r="33" spans="1:5" ht="16.5" customHeight="1" x14ac:dyDescent="0.2">
      <c r="A33" s="28" t="s">
        <v>130</v>
      </c>
      <c r="B33" s="44">
        <f>(2.96/30)/12</f>
        <v>8.2222222222222228E-3</v>
      </c>
      <c r="C33" s="36" t="s">
        <v>117</v>
      </c>
      <c r="D33" s="73">
        <f t="shared" si="1"/>
        <v>53.69</v>
      </c>
      <c r="E33" s="46" t="s">
        <v>56</v>
      </c>
    </row>
    <row r="34" spans="1:5" ht="16.5" customHeight="1" x14ac:dyDescent="0.2">
      <c r="A34" s="28" t="s">
        <v>131</v>
      </c>
      <c r="B34" s="44">
        <f>((5/30)/12)*0.559*0.01253</f>
        <v>9.7281527777777786E-5</v>
      </c>
      <c r="C34" s="30" t="s">
        <v>155</v>
      </c>
      <c r="D34" s="73">
        <f t="shared" si="1"/>
        <v>0.63</v>
      </c>
      <c r="E34" s="46" t="s">
        <v>186</v>
      </c>
    </row>
    <row r="35" spans="1:5" ht="16.5" customHeight="1" x14ac:dyDescent="0.2">
      <c r="A35" s="28" t="s">
        <v>132</v>
      </c>
      <c r="B35" s="56">
        <f>(7/30)/12*0.9445</f>
        <v>1.8365277777777779E-2</v>
      </c>
      <c r="C35" s="80" t="s">
        <v>167</v>
      </c>
      <c r="D35" s="73">
        <f t="shared" si="1"/>
        <v>119.92</v>
      </c>
      <c r="E35" s="62" t="s">
        <v>64</v>
      </c>
    </row>
    <row r="36" spans="1:5" ht="35.450000000000003" customHeight="1" x14ac:dyDescent="0.2">
      <c r="A36" s="28" t="s">
        <v>133</v>
      </c>
      <c r="B36" s="56">
        <f>D36/D8</f>
        <v>3.6752601395067494E-4</v>
      </c>
      <c r="C36" s="80" t="s">
        <v>172</v>
      </c>
      <c r="D36" s="71">
        <f>TRUNC((((D8*(1+(1/3)))/12)+(D62-(D57+D58)))*(4/12)*0.01253*0.441,2)</f>
        <v>2.4</v>
      </c>
      <c r="E36" s="46" t="s">
        <v>84</v>
      </c>
    </row>
    <row r="37" spans="1:5" ht="29.25" customHeight="1" x14ac:dyDescent="0.2">
      <c r="A37" s="47" t="s">
        <v>134</v>
      </c>
      <c r="B37" s="44">
        <f>B20*SUM(B28,B29,B31,B32,B33,B34,B35)</f>
        <v>5.243231698972222E-2</v>
      </c>
      <c r="C37" s="80" t="s">
        <v>142</v>
      </c>
      <c r="D37" s="73">
        <f>TRUNC(B37*$D$8,2)</f>
        <v>342.39</v>
      </c>
      <c r="E37" s="62" t="s">
        <v>88</v>
      </c>
    </row>
    <row r="38" spans="1:5" ht="27.75" customHeight="1" x14ac:dyDescent="0.2">
      <c r="A38" s="47" t="s">
        <v>136</v>
      </c>
      <c r="B38" s="56">
        <f>B20*B36</f>
        <v>1.2422379271532816E-4</v>
      </c>
      <c r="C38" s="30" t="s">
        <v>138</v>
      </c>
      <c r="D38" s="73">
        <f>TRUNC(B38*$D$8,2)</f>
        <v>0.81</v>
      </c>
      <c r="E38" s="46" t="s">
        <v>57</v>
      </c>
    </row>
    <row r="39" spans="1:5" ht="16.5" customHeight="1" thickBot="1" x14ac:dyDescent="0.25">
      <c r="A39" s="4" t="s">
        <v>58</v>
      </c>
      <c r="B39" s="33">
        <f>SUM(B28:B38)</f>
        <v>0.21547941590620212</v>
      </c>
      <c r="C39" s="5" t="s">
        <v>23</v>
      </c>
      <c r="D39" s="89">
        <f>SUM(D28:D38)</f>
        <v>1407.08</v>
      </c>
      <c r="E39" s="7" t="s">
        <v>15</v>
      </c>
    </row>
    <row r="40" spans="1:5" ht="17.25" customHeight="1" x14ac:dyDescent="0.2">
      <c r="A40" s="102" t="s">
        <v>135</v>
      </c>
      <c r="B40" s="102" t="s">
        <v>127</v>
      </c>
      <c r="C40" s="103"/>
      <c r="D40" s="97" t="s">
        <v>157</v>
      </c>
      <c r="E40" s="101"/>
    </row>
    <row r="41" spans="1:5" ht="16.5" customHeight="1" x14ac:dyDescent="0.2">
      <c r="A41" s="102" t="s">
        <v>126</v>
      </c>
      <c r="B41" s="231" t="s">
        <v>156</v>
      </c>
      <c r="C41" s="238"/>
      <c r="D41" s="238"/>
      <c r="E41" s="45"/>
    </row>
    <row r="42" spans="1:5" ht="16.5" customHeight="1" thickBot="1" x14ac:dyDescent="0.25">
      <c r="A42" s="76" t="s">
        <v>185</v>
      </c>
      <c r="B42" s="102" t="s">
        <v>128</v>
      </c>
      <c r="C42" s="104"/>
      <c r="D42" s="98"/>
      <c r="E42" s="99"/>
    </row>
    <row r="43" spans="1:5" ht="16.5" customHeight="1" x14ac:dyDescent="0.2">
      <c r="A43" s="3" t="s">
        <v>59</v>
      </c>
      <c r="B43" s="1" t="s">
        <v>26</v>
      </c>
      <c r="C43" s="1" t="s">
        <v>19</v>
      </c>
      <c r="D43" s="23" t="s">
        <v>14</v>
      </c>
      <c r="E43" s="2" t="s">
        <v>20</v>
      </c>
    </row>
    <row r="44" spans="1:5" ht="16.5" customHeight="1" x14ac:dyDescent="0.2">
      <c r="A44" s="29" t="s">
        <v>60</v>
      </c>
      <c r="B44" s="57">
        <f>(1/12)*0.0555</f>
        <v>4.6249999999999998E-3</v>
      </c>
      <c r="C44" s="81" t="s">
        <v>164</v>
      </c>
      <c r="D44" s="90">
        <f>TRUNC(B44*$D$8,2)</f>
        <v>30.2</v>
      </c>
      <c r="E44" s="79" t="s">
        <v>61</v>
      </c>
    </row>
    <row r="45" spans="1:5" ht="16.5" customHeight="1" x14ac:dyDescent="0.2">
      <c r="A45" s="29" t="s">
        <v>62</v>
      </c>
      <c r="B45" s="59">
        <f>(1/12)*0.0555*0.08</f>
        <v>3.6999999999999999E-4</v>
      </c>
      <c r="C45" s="58" t="s">
        <v>168</v>
      </c>
      <c r="D45" s="90">
        <f>TRUNC(B45*$D$8,2)</f>
        <v>2.41</v>
      </c>
      <c r="E45" s="79" t="s">
        <v>63</v>
      </c>
    </row>
    <row r="46" spans="1:5" ht="16.5" customHeight="1" x14ac:dyDescent="0.2">
      <c r="A46" s="28" t="s">
        <v>118</v>
      </c>
      <c r="B46" s="60">
        <f>0.4*0.08</f>
        <v>3.2000000000000001E-2</v>
      </c>
      <c r="C46" s="30" t="s">
        <v>145</v>
      </c>
      <c r="D46" s="90">
        <f>TRUNC(B46*$D$8,2)</f>
        <v>208.96</v>
      </c>
      <c r="E46" s="79" t="s">
        <v>89</v>
      </c>
    </row>
    <row r="47" spans="1:5" ht="17.25" customHeight="1" x14ac:dyDescent="0.2">
      <c r="A47" s="28" t="s">
        <v>119</v>
      </c>
      <c r="B47" s="95">
        <f>(1/12)*0.01</f>
        <v>8.3333333333333328E-4</v>
      </c>
      <c r="C47" s="96" t="s">
        <v>140</v>
      </c>
      <c r="D47" s="90">
        <f>TRUNC(B47*$D$8,2)</f>
        <v>5.44</v>
      </c>
      <c r="E47" s="62" t="s">
        <v>92</v>
      </c>
    </row>
    <row r="48" spans="1:5" ht="17.25" customHeight="1" x14ac:dyDescent="0.2">
      <c r="A48" s="29" t="s">
        <v>120</v>
      </c>
      <c r="B48" s="56">
        <f>0.08*B32</f>
        <v>6.19E-5</v>
      </c>
      <c r="C48" s="81" t="s">
        <v>141</v>
      </c>
      <c r="D48" s="90">
        <f>TRUNC(B48*$D$8,2)</f>
        <v>0.4</v>
      </c>
      <c r="E48" s="79" t="s">
        <v>188</v>
      </c>
    </row>
    <row r="49" spans="1:5" ht="17.25" customHeight="1" thickBot="1" x14ac:dyDescent="0.25">
      <c r="A49" s="4" t="s">
        <v>65</v>
      </c>
      <c r="B49" s="33">
        <f>SUM(B44:B48)</f>
        <v>3.7890233333333329E-2</v>
      </c>
      <c r="C49" s="5" t="s">
        <v>23</v>
      </c>
      <c r="D49" s="74">
        <f>SUM(D44:D48)</f>
        <v>247.41</v>
      </c>
      <c r="E49" s="7" t="s">
        <v>15</v>
      </c>
    </row>
    <row r="50" spans="1:5" ht="13.5" x14ac:dyDescent="0.2">
      <c r="A50" s="91" t="s">
        <v>160</v>
      </c>
      <c r="B50" s="236" t="s">
        <v>161</v>
      </c>
      <c r="C50" s="236"/>
      <c r="D50" s="236"/>
      <c r="E50" s="237"/>
    </row>
    <row r="51" spans="1:5" ht="14.25" thickBot="1" x14ac:dyDescent="0.25">
      <c r="A51" s="77" t="s">
        <v>146</v>
      </c>
      <c r="B51" s="230" t="s">
        <v>169</v>
      </c>
      <c r="C51" s="231"/>
      <c r="D51" s="231"/>
      <c r="E51" s="232"/>
    </row>
    <row r="52" spans="1:5" ht="16.5" customHeight="1" thickBot="1" x14ac:dyDescent="0.25">
      <c r="A52" s="8" t="s">
        <v>66</v>
      </c>
      <c r="B52" s="87">
        <f>SUM(B49,B39,B25,B20)</f>
        <v>0.70286964923953543</v>
      </c>
      <c r="C52" s="10" t="s">
        <v>67</v>
      </c>
      <c r="D52" s="88">
        <f>SUM(D20,D25,D39,D49)</f>
        <v>4589.7700000000004</v>
      </c>
      <c r="E52" s="11" t="s">
        <v>15</v>
      </c>
    </row>
    <row r="53" spans="1:5" ht="13.5" thickBot="1" x14ac:dyDescent="0.25">
      <c r="A53" s="78"/>
      <c r="B53" s="78"/>
      <c r="C53" s="78"/>
      <c r="D53" s="61"/>
      <c r="E53" s="78"/>
    </row>
    <row r="54" spans="1:5" ht="16.5" customHeight="1" thickBot="1" x14ac:dyDescent="0.25">
      <c r="A54" s="225" t="s">
        <v>178</v>
      </c>
      <c r="B54" s="226"/>
      <c r="C54" s="226"/>
      <c r="D54" s="226"/>
      <c r="E54" s="227"/>
    </row>
    <row r="55" spans="1:5" ht="17.25" customHeight="1" x14ac:dyDescent="0.2">
      <c r="A55" s="3" t="s">
        <v>175</v>
      </c>
      <c r="B55" s="84" t="s">
        <v>14</v>
      </c>
      <c r="C55" s="1" t="s">
        <v>19</v>
      </c>
      <c r="D55" s="23" t="s">
        <v>14</v>
      </c>
      <c r="E55" s="2" t="s">
        <v>20</v>
      </c>
    </row>
    <row r="56" spans="1:5" ht="17.25" customHeight="1" x14ac:dyDescent="0.2">
      <c r="A56" s="28" t="s">
        <v>191</v>
      </c>
      <c r="B56" s="85">
        <v>26.47</v>
      </c>
      <c r="C56" s="26" t="str">
        <f>B56 &amp; " * 22"</f>
        <v>26,47 * 22</v>
      </c>
      <c r="D56" s="73">
        <f>TRUNC(B56*22,2)</f>
        <v>582.34</v>
      </c>
      <c r="E56" s="27" t="s">
        <v>190</v>
      </c>
    </row>
    <row r="57" spans="1:5" ht="25.5" x14ac:dyDescent="0.2">
      <c r="A57" s="28" t="s">
        <v>90</v>
      </c>
      <c r="B57" s="85">
        <v>6</v>
      </c>
      <c r="C57" s="26" t="str">
        <f>B57&amp; " * 4 * 22"</f>
        <v>6 * 4 * 22</v>
      </c>
      <c r="D57" s="73">
        <f>TRUNC(B57*22*4,2)</f>
        <v>528</v>
      </c>
      <c r="E57" s="27" t="s">
        <v>198</v>
      </c>
    </row>
    <row r="58" spans="1:5" ht="17.25" customHeight="1" x14ac:dyDescent="0.2">
      <c r="A58" s="28" t="s">
        <v>91</v>
      </c>
      <c r="B58" s="85">
        <f>D58</f>
        <v>-391.8</v>
      </c>
      <c r="C58" s="26" t="s">
        <v>69</v>
      </c>
      <c r="D58" s="73">
        <f>IF(D57&gt;=TRUNC(0.06*D7,2),TRUNC(-0.06*D7,2),-D57)</f>
        <v>-391.8</v>
      </c>
      <c r="E58" s="62" t="s">
        <v>95</v>
      </c>
    </row>
    <row r="59" spans="1:5" ht="17.25" customHeight="1" x14ac:dyDescent="0.2">
      <c r="A59" s="28" t="s">
        <v>80</v>
      </c>
      <c r="B59" s="85">
        <f>'Quadro Resumo'!C17</f>
        <v>0</v>
      </c>
      <c r="C59" s="26" t="str">
        <f>B59 &amp; " * 3"</f>
        <v>0 * 3</v>
      </c>
      <c r="D59" s="73">
        <f>ROUND(B59*3,2)</f>
        <v>0</v>
      </c>
      <c r="E59" s="140" t="s">
        <v>200</v>
      </c>
    </row>
    <row r="60" spans="1:5" ht="17.25" customHeight="1" x14ac:dyDescent="0.2">
      <c r="A60" s="68" t="s">
        <v>144</v>
      </c>
      <c r="B60" s="141">
        <f>'Quadro Resumo'!C18</f>
        <v>0</v>
      </c>
      <c r="C60" s="58" t="str">
        <f>B60&amp;" * 3/12"</f>
        <v>0 * 3/12</v>
      </c>
      <c r="D60" s="73">
        <f>ROUND(B60*3/12,2)</f>
        <v>0</v>
      </c>
      <c r="E60" s="140" t="s">
        <v>200</v>
      </c>
    </row>
    <row r="61" spans="1:5" ht="31.5" customHeight="1" x14ac:dyDescent="0.2">
      <c r="A61" s="29" t="s">
        <v>148</v>
      </c>
      <c r="B61" s="85">
        <f>'CUSTOS DE VALOR SUBJETIVO'!B7</f>
        <v>0</v>
      </c>
      <c r="C61" s="58" t="s">
        <v>153</v>
      </c>
      <c r="D61" s="75">
        <f>B61</f>
        <v>0</v>
      </c>
      <c r="E61" s="82" t="s">
        <v>101</v>
      </c>
    </row>
    <row r="62" spans="1:5" ht="17.25" customHeight="1" thickBot="1" x14ac:dyDescent="0.25">
      <c r="A62" s="4" t="s">
        <v>108</v>
      </c>
      <c r="B62" s="86"/>
      <c r="C62" s="5" t="s">
        <v>23</v>
      </c>
      <c r="D62" s="74">
        <f>SUM(D56:D61)</f>
        <v>718.54000000000019</v>
      </c>
      <c r="E62" s="7" t="s">
        <v>15</v>
      </c>
    </row>
    <row r="63" spans="1:5" ht="16.5" customHeight="1" x14ac:dyDescent="0.2">
      <c r="A63" s="242" t="s">
        <v>201</v>
      </c>
      <c r="B63" s="243"/>
      <c r="C63" s="243"/>
      <c r="D63" s="243"/>
      <c r="E63" s="243"/>
    </row>
    <row r="64" spans="1:5" ht="13.5" thickBot="1" x14ac:dyDescent="0.25">
      <c r="A64" s="244"/>
      <c r="B64" s="244"/>
      <c r="C64" s="244"/>
      <c r="D64" s="244"/>
      <c r="E64" s="244"/>
    </row>
    <row r="65" spans="1:5" ht="26.25" customHeight="1" thickBot="1" x14ac:dyDescent="0.25">
      <c r="A65" s="12" t="s">
        <v>70</v>
      </c>
      <c r="B65" s="9" t="s">
        <v>15</v>
      </c>
      <c r="C65" s="9" t="s">
        <v>71</v>
      </c>
      <c r="D65" s="32">
        <f>SUM(D8,D52,D62)</f>
        <v>11838.460000000001</v>
      </c>
      <c r="E65" s="11" t="s">
        <v>15</v>
      </c>
    </row>
    <row r="66" spans="1:5" ht="13.5" thickBot="1" x14ac:dyDescent="0.25">
      <c r="A66" s="63"/>
      <c r="B66" s="64"/>
      <c r="C66" s="64"/>
      <c r="D66" s="65"/>
      <c r="E66" s="66"/>
    </row>
    <row r="67" spans="1:5" ht="17.25" customHeight="1" x14ac:dyDescent="0.2">
      <c r="A67" s="3" t="s">
        <v>137</v>
      </c>
      <c r="B67" s="1" t="s">
        <v>26</v>
      </c>
      <c r="C67" s="1" t="s">
        <v>19</v>
      </c>
      <c r="D67" s="23" t="s">
        <v>14</v>
      </c>
      <c r="E67" s="2" t="s">
        <v>20</v>
      </c>
    </row>
    <row r="68" spans="1:5" ht="17.25" customHeight="1" x14ac:dyDescent="0.2">
      <c r="A68" s="28" t="s">
        <v>114</v>
      </c>
      <c r="B68" s="69">
        <f>'Quadro Resumo'!C12</f>
        <v>0</v>
      </c>
      <c r="C68" s="142" t="s">
        <v>15</v>
      </c>
      <c r="D68" s="83">
        <f>TRUNC(B68*D65,2)</f>
        <v>0</v>
      </c>
      <c r="E68" s="40" t="s">
        <v>15</v>
      </c>
    </row>
    <row r="69" spans="1:5" ht="30.75" customHeight="1" x14ac:dyDescent="0.2">
      <c r="A69" s="28" t="s">
        <v>9</v>
      </c>
      <c r="B69" s="69">
        <f>'Quadro Resumo'!C13</f>
        <v>0</v>
      </c>
      <c r="C69" s="26" t="s">
        <v>153</v>
      </c>
      <c r="D69" s="83">
        <f>TRUNC(B69*D65,2)</f>
        <v>0</v>
      </c>
      <c r="E69" s="27" t="s">
        <v>154</v>
      </c>
    </row>
    <row r="70" spans="1:5" ht="16.5" customHeight="1" thickBot="1" x14ac:dyDescent="0.25">
      <c r="A70" s="4" t="s">
        <v>72</v>
      </c>
      <c r="B70" s="33">
        <f>SUM(B68:B69)</f>
        <v>0</v>
      </c>
      <c r="C70" s="5" t="s">
        <v>23</v>
      </c>
      <c r="D70" s="72">
        <f>SUM(D68:D69)</f>
        <v>0</v>
      </c>
      <c r="E70" s="7" t="s">
        <v>15</v>
      </c>
    </row>
    <row r="71" spans="1:5" ht="24" customHeight="1" thickBot="1" x14ac:dyDescent="0.25">
      <c r="A71" s="92"/>
      <c r="B71" s="78"/>
      <c r="C71" s="78"/>
      <c r="D71" s="39"/>
      <c r="E71" s="78"/>
    </row>
    <row r="72" spans="1:5" ht="16.5" customHeight="1" x14ac:dyDescent="0.2">
      <c r="A72" s="13" t="s">
        <v>73</v>
      </c>
      <c r="B72" s="1" t="s">
        <v>26</v>
      </c>
      <c r="C72" s="1" t="s">
        <v>19</v>
      </c>
      <c r="D72" s="23" t="s">
        <v>14</v>
      </c>
      <c r="E72" s="2" t="s">
        <v>20</v>
      </c>
    </row>
    <row r="73" spans="1:5" ht="16.5" customHeight="1" x14ac:dyDescent="0.2">
      <c r="A73" s="28" t="s">
        <v>10</v>
      </c>
      <c r="B73" s="69">
        <f>'Quadro Resumo'!C25</f>
        <v>0</v>
      </c>
      <c r="C73" s="228" t="s">
        <v>113</v>
      </c>
      <c r="D73" s="73">
        <f>TRUNC((($D$65+$D$70)/(1-(($B$73+$B$74+$B$75))))*(B73),2)</f>
        <v>0</v>
      </c>
      <c r="E73" s="62" t="s">
        <v>98</v>
      </c>
    </row>
    <row r="74" spans="1:5" ht="16.5" customHeight="1" x14ac:dyDescent="0.2">
      <c r="A74" s="28" t="s">
        <v>11</v>
      </c>
      <c r="B74" s="69">
        <f>'Quadro Resumo'!C26</f>
        <v>0</v>
      </c>
      <c r="C74" s="229"/>
      <c r="D74" s="73">
        <f>TRUNC((($D$65+$D$70)/(1-(($B$73+$B$74+$B$75))))*(B74),2)</f>
        <v>0</v>
      </c>
      <c r="E74" s="27" t="s">
        <v>97</v>
      </c>
    </row>
    <row r="75" spans="1:5" ht="16.5" customHeight="1" x14ac:dyDescent="0.2">
      <c r="A75" s="28" t="s">
        <v>12</v>
      </c>
      <c r="B75" s="69">
        <f>'Quadro Resumo'!C27</f>
        <v>0</v>
      </c>
      <c r="C75" s="229"/>
      <c r="D75" s="73">
        <f>TRUNC((($D$65+$D$70)/(1-(($B$73+$B$74+$B$75))))*(B75),2)</f>
        <v>0</v>
      </c>
      <c r="E75" s="62" t="s">
        <v>96</v>
      </c>
    </row>
    <row r="76" spans="1:5" ht="16.5" customHeight="1" thickBot="1" x14ac:dyDescent="0.25">
      <c r="A76" s="4" t="s">
        <v>74</v>
      </c>
      <c r="B76" s="33">
        <f>SUM(B73:B75)</f>
        <v>0</v>
      </c>
      <c r="C76" s="5" t="s">
        <v>23</v>
      </c>
      <c r="D76" s="74">
        <f>SUM(D73:D75)</f>
        <v>0</v>
      </c>
      <c r="E76" s="7" t="s">
        <v>15</v>
      </c>
    </row>
    <row r="77" spans="1:5" ht="13.5" thickBot="1" x14ac:dyDescent="0.25">
      <c r="A77" s="68"/>
      <c r="B77" s="78"/>
      <c r="C77" s="78"/>
      <c r="D77" s="39"/>
      <c r="E77" s="78"/>
    </row>
    <row r="78" spans="1:5" ht="16.5" customHeight="1" thickBot="1" x14ac:dyDescent="0.25">
      <c r="A78" s="14" t="s">
        <v>75</v>
      </c>
      <c r="B78" s="15" t="s">
        <v>15</v>
      </c>
      <c r="C78" s="1" t="s">
        <v>19</v>
      </c>
      <c r="D78" s="24" t="s">
        <v>76</v>
      </c>
      <c r="E78" s="2" t="s">
        <v>77</v>
      </c>
    </row>
    <row r="79" spans="1:5" ht="16.5" customHeight="1" thickBot="1" x14ac:dyDescent="0.25">
      <c r="A79" s="16"/>
      <c r="B79" s="17" t="s">
        <v>15</v>
      </c>
      <c r="C79" s="17" t="s">
        <v>78</v>
      </c>
      <c r="D79" s="94">
        <f>TRUNC(SUM(D65,D70,D76),2)</f>
        <v>11838.46</v>
      </c>
      <c r="E79" s="31">
        <f>D79*12</f>
        <v>142061.51999999999</v>
      </c>
    </row>
    <row r="80" spans="1:5" x14ac:dyDescent="0.2">
      <c r="A80" s="34"/>
      <c r="B80" s="34"/>
      <c r="C80" s="34"/>
      <c r="D80" s="67"/>
      <c r="E80" s="34"/>
    </row>
  </sheetData>
  <sheetProtection algorithmName="SHA-512" hashValue="h1EywsVQywOj2Yl7AdSDgDHqZQ68DXPLiifcmwEOgJ0/PGPQMs1oEvf7OPqX3hT1p7+c8Wm256wp5dY2/sa5nw==" saltValue="Vp8UdbNlmfMNdKln82fv/Q==" spinCount="100000" sheet="1" objects="1" scenarios="1"/>
  <mergeCells count="9">
    <mergeCell ref="A54:E54"/>
    <mergeCell ref="C73:C75"/>
    <mergeCell ref="B51:E51"/>
    <mergeCell ref="A1:E1"/>
    <mergeCell ref="A10:E10"/>
    <mergeCell ref="B50:E50"/>
    <mergeCell ref="B41:D41"/>
    <mergeCell ref="A3:C3"/>
    <mergeCell ref="A63:E64"/>
  </mergeCells>
  <conditionalFormatting sqref="B61">
    <cfRule type="expression" dxfId="1" priority="12">
      <formula>ISBLANK($B$61)</formula>
    </cfRule>
  </conditionalFormatting>
  <pageMargins left="0.51181102362204722" right="0.51181102362204722" top="0.78740157480314965" bottom="0.78740157480314965" header="0.31496062992125984" footer="0.31496062992125984"/>
  <pageSetup paperSize="9" scale="42" orientation="portrait" r:id="rId1"/>
  <ignoredErrors>
    <ignoredError sqref="D30 D3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>
    <tabColor theme="2" tint="-0.749992370372631"/>
    <pageSetUpPr fitToPage="1"/>
  </sheetPr>
  <dimension ref="A1:E80"/>
  <sheetViews>
    <sheetView showGridLines="0" zoomScale="90" zoomScaleNormal="90" workbookViewId="0">
      <selection sqref="A1:E1"/>
    </sheetView>
  </sheetViews>
  <sheetFormatPr defaultColWidth="9.140625" defaultRowHeight="12.75" x14ac:dyDescent="0.2"/>
  <cols>
    <col min="1" max="1" width="70.140625" style="21" customWidth="1"/>
    <col min="2" max="2" width="15.140625" style="21" customWidth="1"/>
    <col min="3" max="3" width="61.42578125" style="21" customWidth="1"/>
    <col min="4" max="4" width="13.5703125" style="25" customWidth="1"/>
    <col min="5" max="5" width="57.85546875" style="21" customWidth="1"/>
    <col min="6" max="6" width="1.5703125" style="21" customWidth="1"/>
    <col min="7" max="16384" width="9.140625" style="21"/>
  </cols>
  <sheetData>
    <row r="1" spans="1:5" ht="20.25" thickBot="1" x14ac:dyDescent="0.25">
      <c r="A1" s="233" t="str">
        <f>"PLANILHA DE COMPOSIÇÃO DE CUSTOS E FORMAÇÃO DE PREÇOS - " &amp; 'Quadro Resumo'!B8</f>
        <v xml:space="preserve">PLANILHA DE COMPOSIÇÃO DE CUSTOS E FORMAÇÃO DE PREÇOS - AUXILIAR DE SERVIÇO DE ARQUIVO </v>
      </c>
      <c r="B1" s="234"/>
      <c r="C1" s="234"/>
      <c r="D1" s="234"/>
      <c r="E1" s="235"/>
    </row>
    <row r="2" spans="1:5" ht="20.25" thickBot="1" x14ac:dyDescent="0.25">
      <c r="A2" s="18"/>
      <c r="B2" s="19"/>
      <c r="C2" s="19"/>
      <c r="D2" s="22"/>
      <c r="E2" s="20"/>
    </row>
    <row r="3" spans="1:5" ht="17.25" customHeight="1" x14ac:dyDescent="0.2">
      <c r="A3" s="239" t="s">
        <v>181</v>
      </c>
      <c r="B3" s="240"/>
      <c r="C3" s="241"/>
      <c r="D3" s="1" t="s">
        <v>14</v>
      </c>
      <c r="E3" s="1" t="s">
        <v>15</v>
      </c>
    </row>
    <row r="4" spans="1:5" ht="17.25" customHeight="1" thickBot="1" x14ac:dyDescent="0.25">
      <c r="A4" s="35" t="str">
        <f>'Quadro Resumo'!B8</f>
        <v xml:space="preserve">AUXILIAR DE SERVIÇO DE ARQUIVO </v>
      </c>
      <c r="B4" s="37"/>
      <c r="C4" s="37" t="s">
        <v>16</v>
      </c>
      <c r="D4" s="70">
        <f>'Quadro Resumo'!C8</f>
        <v>2337.12</v>
      </c>
      <c r="E4" s="38" t="s">
        <v>15</v>
      </c>
    </row>
    <row r="5" spans="1:5" ht="13.5" thickBot="1" x14ac:dyDescent="0.25">
      <c r="A5" s="68"/>
      <c r="B5" s="78"/>
      <c r="C5" s="78"/>
      <c r="D5" s="39"/>
      <c r="E5" s="78"/>
    </row>
    <row r="6" spans="1:5" ht="17.25" customHeight="1" x14ac:dyDescent="0.2">
      <c r="A6" s="3" t="s">
        <v>17</v>
      </c>
      <c r="B6" s="1" t="s">
        <v>18</v>
      </c>
      <c r="C6" s="1" t="s">
        <v>19</v>
      </c>
      <c r="D6" s="23" t="s">
        <v>14</v>
      </c>
      <c r="E6" s="2" t="s">
        <v>20</v>
      </c>
    </row>
    <row r="7" spans="1:5" ht="17.25" customHeight="1" x14ac:dyDescent="0.2">
      <c r="A7" s="28" t="s">
        <v>21</v>
      </c>
      <c r="B7" s="58" t="s">
        <v>15</v>
      </c>
      <c r="C7" s="26" t="s">
        <v>15</v>
      </c>
      <c r="D7" s="71">
        <f>TRUNC(D4,2)</f>
        <v>2337.12</v>
      </c>
      <c r="E7" s="40"/>
    </row>
    <row r="8" spans="1:5" ht="16.5" customHeight="1" thickBot="1" x14ac:dyDescent="0.25">
      <c r="A8" s="4" t="s">
        <v>22</v>
      </c>
      <c r="B8" s="5" t="s">
        <v>15</v>
      </c>
      <c r="C8" s="6" t="s">
        <v>23</v>
      </c>
      <c r="D8" s="72">
        <f>SUM(D7:D7)</f>
        <v>2337.12</v>
      </c>
      <c r="E8" s="7" t="s">
        <v>15</v>
      </c>
    </row>
    <row r="9" spans="1:5" ht="13.5" customHeight="1" thickBot="1" x14ac:dyDescent="0.25">
      <c r="A9" s="41"/>
      <c r="B9" s="42"/>
      <c r="C9" s="43"/>
      <c r="D9" s="39"/>
      <c r="E9" s="78"/>
    </row>
    <row r="10" spans="1:5" ht="16.5" customHeight="1" thickBot="1" x14ac:dyDescent="0.25">
      <c r="A10" s="225" t="s">
        <v>24</v>
      </c>
      <c r="B10" s="226"/>
      <c r="C10" s="226"/>
      <c r="D10" s="226"/>
      <c r="E10" s="227"/>
    </row>
    <row r="11" spans="1:5" ht="16.5" customHeight="1" x14ac:dyDescent="0.2">
      <c r="A11" s="3" t="s">
        <v>25</v>
      </c>
      <c r="B11" s="1" t="s">
        <v>26</v>
      </c>
      <c r="C11" s="1" t="s">
        <v>19</v>
      </c>
      <c r="D11" s="23" t="s">
        <v>14</v>
      </c>
      <c r="E11" s="2" t="s">
        <v>20</v>
      </c>
    </row>
    <row r="12" spans="1:5" ht="16.5" customHeight="1" x14ac:dyDescent="0.2">
      <c r="A12" s="28" t="s">
        <v>27</v>
      </c>
      <c r="B12" s="44">
        <v>0.2</v>
      </c>
      <c r="C12" s="26" t="s">
        <v>28</v>
      </c>
      <c r="D12" s="73">
        <f>TRUNC(B12*$D$8,2)</f>
        <v>467.42</v>
      </c>
      <c r="E12" s="45" t="s">
        <v>29</v>
      </c>
    </row>
    <row r="13" spans="1:5" ht="16.5" customHeight="1" x14ac:dyDescent="0.2">
      <c r="A13" s="28" t="s">
        <v>30</v>
      </c>
      <c r="B13" s="44">
        <v>0.08</v>
      </c>
      <c r="C13" s="26" t="s">
        <v>31</v>
      </c>
      <c r="D13" s="73">
        <f t="shared" ref="D13:D19" si="0">TRUNC(B13*$D$8,2)</f>
        <v>186.96</v>
      </c>
      <c r="E13" s="46" t="s">
        <v>196</v>
      </c>
    </row>
    <row r="14" spans="1:5" ht="17.25" customHeight="1" x14ac:dyDescent="0.2">
      <c r="A14" s="28" t="s">
        <v>32</v>
      </c>
      <c r="B14" s="44">
        <v>1.4999999999999999E-2</v>
      </c>
      <c r="C14" s="26" t="s">
        <v>33</v>
      </c>
      <c r="D14" s="73">
        <f t="shared" si="0"/>
        <v>35.049999999999997</v>
      </c>
      <c r="E14" s="46" t="s">
        <v>34</v>
      </c>
    </row>
    <row r="15" spans="1:5" ht="17.25" customHeight="1" x14ac:dyDescent="0.2">
      <c r="A15" s="28" t="s">
        <v>35</v>
      </c>
      <c r="B15" s="44">
        <v>0.01</v>
      </c>
      <c r="C15" s="26" t="s">
        <v>36</v>
      </c>
      <c r="D15" s="73">
        <f t="shared" si="0"/>
        <v>23.37</v>
      </c>
      <c r="E15" s="46" t="s">
        <v>37</v>
      </c>
    </row>
    <row r="16" spans="1:5" ht="17.25" customHeight="1" x14ac:dyDescent="0.2">
      <c r="A16" s="28" t="s">
        <v>38</v>
      </c>
      <c r="B16" s="44">
        <v>2E-3</v>
      </c>
      <c r="C16" s="26" t="s">
        <v>39</v>
      </c>
      <c r="D16" s="73">
        <f t="shared" si="0"/>
        <v>4.67</v>
      </c>
      <c r="E16" s="46" t="s">
        <v>40</v>
      </c>
    </row>
    <row r="17" spans="1:5" ht="17.25" customHeight="1" x14ac:dyDescent="0.2">
      <c r="A17" s="28" t="s">
        <v>41</v>
      </c>
      <c r="B17" s="44">
        <v>6.0000000000000001E-3</v>
      </c>
      <c r="C17" s="26" t="s">
        <v>42</v>
      </c>
      <c r="D17" s="73">
        <f t="shared" si="0"/>
        <v>14.02</v>
      </c>
      <c r="E17" s="46" t="s">
        <v>43</v>
      </c>
    </row>
    <row r="18" spans="1:5" ht="17.25" customHeight="1" x14ac:dyDescent="0.2">
      <c r="A18" s="28" t="s">
        <v>44</v>
      </c>
      <c r="B18" s="44">
        <v>2.5000000000000001E-2</v>
      </c>
      <c r="C18" s="26" t="s">
        <v>45</v>
      </c>
      <c r="D18" s="73">
        <f t="shared" si="0"/>
        <v>58.42</v>
      </c>
      <c r="E18" s="46" t="s">
        <v>46</v>
      </c>
    </row>
    <row r="19" spans="1:5" ht="17.25" customHeight="1" x14ac:dyDescent="0.2">
      <c r="A19" s="47" t="s">
        <v>47</v>
      </c>
      <c r="B19" s="69">
        <f>'Quadro Resumo'!C22</f>
        <v>0</v>
      </c>
      <c r="C19" s="26" t="s">
        <v>48</v>
      </c>
      <c r="D19" s="73">
        <f t="shared" si="0"/>
        <v>0</v>
      </c>
      <c r="E19" s="46" t="s">
        <v>194</v>
      </c>
    </row>
    <row r="20" spans="1:5" ht="17.25" customHeight="1" thickBot="1" x14ac:dyDescent="0.25">
      <c r="A20" s="4" t="s">
        <v>49</v>
      </c>
      <c r="B20" s="33">
        <f>SUM(B12:B19)</f>
        <v>0.33800000000000008</v>
      </c>
      <c r="C20" s="5" t="s">
        <v>23</v>
      </c>
      <c r="D20" s="74">
        <f>SUM(D12:D19)</f>
        <v>789.90999999999985</v>
      </c>
      <c r="E20" s="7" t="s">
        <v>15</v>
      </c>
    </row>
    <row r="21" spans="1:5" ht="13.5" thickBot="1" x14ac:dyDescent="0.25">
      <c r="A21" s="68"/>
      <c r="B21" s="78"/>
      <c r="C21" s="78"/>
      <c r="D21" s="39"/>
      <c r="E21" s="48"/>
    </row>
    <row r="22" spans="1:5" ht="15.75" customHeight="1" x14ac:dyDescent="0.2">
      <c r="A22" s="3" t="s">
        <v>87</v>
      </c>
      <c r="B22" s="1" t="s">
        <v>26</v>
      </c>
      <c r="C22" s="1" t="s">
        <v>19</v>
      </c>
      <c r="D22" s="23" t="s">
        <v>14</v>
      </c>
      <c r="E22" s="2" t="s">
        <v>20</v>
      </c>
    </row>
    <row r="23" spans="1:5" ht="15.75" customHeight="1" x14ac:dyDescent="0.2">
      <c r="A23" s="28" t="s">
        <v>50</v>
      </c>
      <c r="B23" s="44">
        <f>(1/12)</f>
        <v>8.3333333333333329E-2</v>
      </c>
      <c r="C23" s="26" t="s">
        <v>93</v>
      </c>
      <c r="D23" s="73">
        <f>TRUNC(B23*$D$8,2)</f>
        <v>194.76</v>
      </c>
      <c r="E23" s="46" t="s">
        <v>51</v>
      </c>
    </row>
    <row r="24" spans="1:5" ht="15.75" customHeight="1" x14ac:dyDescent="0.2">
      <c r="A24" s="29" t="s">
        <v>85</v>
      </c>
      <c r="B24" s="49">
        <f>B20*B23</f>
        <v>2.8166666666666673E-2</v>
      </c>
      <c r="C24" s="58" t="s">
        <v>94</v>
      </c>
      <c r="D24" s="73">
        <f>TRUNC(B24*$D$8,2)</f>
        <v>65.819999999999993</v>
      </c>
      <c r="E24" s="62" t="s">
        <v>195</v>
      </c>
    </row>
    <row r="25" spans="1:5" ht="16.5" customHeight="1" thickBot="1" x14ac:dyDescent="0.25">
      <c r="A25" s="4" t="s">
        <v>52</v>
      </c>
      <c r="B25" s="33">
        <f>SUM(B23:B24)</f>
        <v>0.1115</v>
      </c>
      <c r="C25" s="5" t="s">
        <v>23</v>
      </c>
      <c r="D25" s="74">
        <f>SUM(D23:D24)</f>
        <v>260.58</v>
      </c>
      <c r="E25" s="7" t="s">
        <v>15</v>
      </c>
    </row>
    <row r="26" spans="1:5" ht="13.5" thickBot="1" x14ac:dyDescent="0.25">
      <c r="A26" s="50"/>
      <c r="B26" s="51"/>
      <c r="C26" s="51"/>
      <c r="D26" s="52"/>
      <c r="E26" s="53"/>
    </row>
    <row r="27" spans="1:5" ht="17.25" customHeight="1" x14ac:dyDescent="0.2">
      <c r="A27" s="3" t="s">
        <v>53</v>
      </c>
      <c r="B27" s="1" t="s">
        <v>26</v>
      </c>
      <c r="C27" s="1" t="s">
        <v>19</v>
      </c>
      <c r="D27" s="23" t="s">
        <v>14</v>
      </c>
      <c r="E27" s="2" t="s">
        <v>20</v>
      </c>
    </row>
    <row r="28" spans="1:5" ht="16.5" customHeight="1" x14ac:dyDescent="0.2">
      <c r="A28" s="28" t="s">
        <v>54</v>
      </c>
      <c r="B28" s="44">
        <f>1/12</f>
        <v>8.3333333333333329E-2</v>
      </c>
      <c r="C28" s="26" t="s">
        <v>93</v>
      </c>
      <c r="D28" s="73">
        <f t="shared" ref="D28:D34" si="1">TRUNC(B28*$D$8,2)</f>
        <v>194.76</v>
      </c>
      <c r="E28" s="46" t="s">
        <v>84</v>
      </c>
    </row>
    <row r="29" spans="1:5" ht="16.5" customHeight="1" x14ac:dyDescent="0.2">
      <c r="A29" s="28" t="s">
        <v>86</v>
      </c>
      <c r="B29" s="54">
        <f>(1/3)/12</f>
        <v>2.7777777777777776E-2</v>
      </c>
      <c r="C29" s="26" t="s">
        <v>103</v>
      </c>
      <c r="D29" s="73">
        <f t="shared" si="1"/>
        <v>64.92</v>
      </c>
      <c r="E29" s="46" t="s">
        <v>84</v>
      </c>
    </row>
    <row r="30" spans="1:5" ht="27.75" customHeight="1" x14ac:dyDescent="0.2">
      <c r="A30" s="28" t="s">
        <v>124</v>
      </c>
      <c r="B30" s="69">
        <f>D30/D8</f>
        <v>2.0760594235640448E-2</v>
      </c>
      <c r="C30" s="80" t="s">
        <v>174</v>
      </c>
      <c r="D30" s="71">
        <f>TRUNC((D62-(D57+D58))/12,2)</f>
        <v>48.52</v>
      </c>
      <c r="E30" s="46" t="s">
        <v>123</v>
      </c>
    </row>
    <row r="31" spans="1:5" ht="16.5" customHeight="1" x14ac:dyDescent="0.2">
      <c r="A31" s="28" t="s">
        <v>125</v>
      </c>
      <c r="B31" s="44">
        <f>(5.96/30)/12</f>
        <v>1.6555555555555556E-2</v>
      </c>
      <c r="C31" s="26" t="s">
        <v>115</v>
      </c>
      <c r="D31" s="73">
        <f t="shared" si="1"/>
        <v>38.69</v>
      </c>
      <c r="E31" s="46" t="s">
        <v>187</v>
      </c>
    </row>
    <row r="32" spans="1:5" ht="16.5" customHeight="1" x14ac:dyDescent="0.2">
      <c r="A32" s="28" t="s">
        <v>129</v>
      </c>
      <c r="B32" s="44">
        <f>(((15/30)/12)*0.00506)</f>
        <v>2.1083333333333333E-4</v>
      </c>
      <c r="C32" s="55" t="s">
        <v>183</v>
      </c>
      <c r="D32" s="73">
        <f t="shared" si="1"/>
        <v>0.49</v>
      </c>
      <c r="E32" s="46" t="s">
        <v>55</v>
      </c>
    </row>
    <row r="33" spans="1:5" ht="16.5" customHeight="1" x14ac:dyDescent="0.2">
      <c r="A33" s="28" t="s">
        <v>130</v>
      </c>
      <c r="B33" s="44">
        <f>(2.96/30)/12</f>
        <v>8.2222222222222228E-3</v>
      </c>
      <c r="C33" s="36" t="s">
        <v>117</v>
      </c>
      <c r="D33" s="73">
        <f t="shared" si="1"/>
        <v>19.21</v>
      </c>
      <c r="E33" s="46" t="s">
        <v>56</v>
      </c>
    </row>
    <row r="34" spans="1:5" ht="16.5" customHeight="1" x14ac:dyDescent="0.2">
      <c r="A34" s="28" t="s">
        <v>131</v>
      </c>
      <c r="B34" s="44">
        <f>((5/30)/12)*0.559*0.01253</f>
        <v>9.7281527777777786E-5</v>
      </c>
      <c r="C34" s="30" t="s">
        <v>158</v>
      </c>
      <c r="D34" s="73">
        <f t="shared" si="1"/>
        <v>0.22</v>
      </c>
      <c r="E34" s="46" t="s">
        <v>186</v>
      </c>
    </row>
    <row r="35" spans="1:5" ht="16.5" customHeight="1" x14ac:dyDescent="0.2">
      <c r="A35" s="28" t="s">
        <v>132</v>
      </c>
      <c r="B35" s="56">
        <f>((7/30)/12)*0.9445</f>
        <v>1.8365277777777779E-2</v>
      </c>
      <c r="C35" s="80" t="s">
        <v>166</v>
      </c>
      <c r="D35" s="73">
        <f>TRUNC(B35*$D$8,2)</f>
        <v>42.92</v>
      </c>
      <c r="E35" s="62" t="s">
        <v>64</v>
      </c>
    </row>
    <row r="36" spans="1:5" ht="24" x14ac:dyDescent="0.2">
      <c r="A36" s="28" t="s">
        <v>133</v>
      </c>
      <c r="B36" s="56">
        <f>D36/D8</f>
        <v>6.632094201410283E-4</v>
      </c>
      <c r="C36" s="80" t="s">
        <v>172</v>
      </c>
      <c r="D36" s="71">
        <f>TRUNC((((D8*(1+(1/3)))/12)+(D62-(D57+D58)))*(4/12)*0.01253*0.441,2)</f>
        <v>1.55</v>
      </c>
      <c r="E36" s="46" t="s">
        <v>84</v>
      </c>
    </row>
    <row r="37" spans="1:5" ht="29.25" customHeight="1" x14ac:dyDescent="0.2">
      <c r="A37" s="47" t="s">
        <v>134</v>
      </c>
      <c r="B37" s="44">
        <f>B20*SUM(B28,B29,B31,B32,B33,B34,B35)</f>
        <v>5.2242051156388886E-2</v>
      </c>
      <c r="C37" s="80" t="s">
        <v>142</v>
      </c>
      <c r="D37" s="73">
        <f>TRUNC(B37*$D$8,2)</f>
        <v>122.09</v>
      </c>
      <c r="E37" s="62" t="s">
        <v>88</v>
      </c>
    </row>
    <row r="38" spans="1:5" ht="25.5" x14ac:dyDescent="0.2">
      <c r="A38" s="47" t="s">
        <v>136</v>
      </c>
      <c r="B38" s="56">
        <f>B20*B36</f>
        <v>2.2416478400766763E-4</v>
      </c>
      <c r="C38" s="30" t="s">
        <v>138</v>
      </c>
      <c r="D38" s="73">
        <f>TRUNC(B38*$D$8,2)</f>
        <v>0.52</v>
      </c>
      <c r="E38" s="46" t="s">
        <v>197</v>
      </c>
    </row>
    <row r="39" spans="1:5" ht="16.5" customHeight="1" thickBot="1" x14ac:dyDescent="0.25">
      <c r="A39" s="4" t="s">
        <v>58</v>
      </c>
      <c r="B39" s="33">
        <f>SUM(B28:B38)</f>
        <v>0.22845230112395576</v>
      </c>
      <c r="C39" s="5" t="s">
        <v>23</v>
      </c>
      <c r="D39" s="89">
        <f>SUM(D28:D38)</f>
        <v>533.89</v>
      </c>
      <c r="E39" s="7" t="s">
        <v>15</v>
      </c>
    </row>
    <row r="40" spans="1:5" ht="27.75" customHeight="1" x14ac:dyDescent="0.2">
      <c r="A40" s="102" t="s">
        <v>135</v>
      </c>
      <c r="B40" s="102" t="s">
        <v>127</v>
      </c>
      <c r="D40" s="246" t="s">
        <v>157</v>
      </c>
      <c r="E40" s="247"/>
    </row>
    <row r="41" spans="1:5" ht="16.5" customHeight="1" x14ac:dyDescent="0.2">
      <c r="A41" s="102" t="s">
        <v>126</v>
      </c>
      <c r="B41" s="231" t="s">
        <v>156</v>
      </c>
      <c r="C41" s="238"/>
      <c r="D41" s="248"/>
      <c r="E41" s="45"/>
    </row>
    <row r="42" spans="1:5" ht="16.5" customHeight="1" thickBot="1" x14ac:dyDescent="0.25">
      <c r="A42" s="76" t="s">
        <v>184</v>
      </c>
      <c r="B42" s="93" t="s">
        <v>128</v>
      </c>
      <c r="C42" s="34"/>
      <c r="D42" s="98"/>
      <c r="E42" s="99"/>
    </row>
    <row r="43" spans="1:5" ht="16.5" customHeight="1" x14ac:dyDescent="0.2">
      <c r="A43" s="3" t="s">
        <v>59</v>
      </c>
      <c r="B43" s="1" t="s">
        <v>26</v>
      </c>
      <c r="C43" s="1" t="s">
        <v>19</v>
      </c>
      <c r="D43" s="23" t="s">
        <v>14</v>
      </c>
      <c r="E43" s="2" t="s">
        <v>20</v>
      </c>
    </row>
    <row r="44" spans="1:5" ht="16.5" customHeight="1" x14ac:dyDescent="0.2">
      <c r="A44" s="29" t="s">
        <v>60</v>
      </c>
      <c r="B44" s="57">
        <f>(1/12)*0.0555</f>
        <v>4.6249999999999998E-3</v>
      </c>
      <c r="C44" s="81" t="s">
        <v>165</v>
      </c>
      <c r="D44" s="90">
        <f>TRUNC(B44*$D$8,2)</f>
        <v>10.8</v>
      </c>
      <c r="E44" s="79" t="s">
        <v>61</v>
      </c>
    </row>
    <row r="45" spans="1:5" ht="16.5" customHeight="1" x14ac:dyDescent="0.2">
      <c r="A45" s="29" t="s">
        <v>62</v>
      </c>
      <c r="B45" s="59">
        <f>(1/12)*0.055*0.08</f>
        <v>3.6666666666666667E-4</v>
      </c>
      <c r="C45" s="58" t="s">
        <v>159</v>
      </c>
      <c r="D45" s="90">
        <f>TRUNC(B45*$D$8,2)</f>
        <v>0.85</v>
      </c>
      <c r="E45" s="79" t="s">
        <v>63</v>
      </c>
    </row>
    <row r="46" spans="1:5" ht="16.5" customHeight="1" x14ac:dyDescent="0.2">
      <c r="A46" s="28" t="s">
        <v>118</v>
      </c>
      <c r="B46" s="60">
        <f>0.4*0.08</f>
        <v>3.2000000000000001E-2</v>
      </c>
      <c r="C46" s="30" t="s">
        <v>145</v>
      </c>
      <c r="D46" s="90">
        <f>TRUNC(B46*$D$8,2)</f>
        <v>74.78</v>
      </c>
      <c r="E46" s="79" t="s">
        <v>89</v>
      </c>
    </row>
    <row r="47" spans="1:5" ht="17.25" customHeight="1" x14ac:dyDescent="0.2">
      <c r="A47" s="28" t="s">
        <v>119</v>
      </c>
      <c r="B47" s="95">
        <f>(1/12)*0.01</f>
        <v>8.3333333333333328E-4</v>
      </c>
      <c r="C47" s="96" t="s">
        <v>139</v>
      </c>
      <c r="D47" s="90">
        <f>TRUNC(B47*$D$8,2)</f>
        <v>1.94</v>
      </c>
      <c r="E47" s="62" t="s">
        <v>92</v>
      </c>
    </row>
    <row r="48" spans="1:5" ht="17.25" customHeight="1" x14ac:dyDescent="0.2">
      <c r="A48" s="29" t="s">
        <v>120</v>
      </c>
      <c r="B48" s="60">
        <f>0.08*B32</f>
        <v>1.6866666666666666E-5</v>
      </c>
      <c r="C48" s="96" t="s">
        <v>141</v>
      </c>
      <c r="D48" s="90">
        <f>TRUNC(B48*D8,2)</f>
        <v>0.03</v>
      </c>
      <c r="E48" s="79" t="s">
        <v>188</v>
      </c>
    </row>
    <row r="49" spans="1:5" ht="17.25" customHeight="1" thickBot="1" x14ac:dyDescent="0.25">
      <c r="A49" s="4" t="s">
        <v>65</v>
      </c>
      <c r="B49" s="33">
        <f>SUM(B44:B48)</f>
        <v>3.7841866666666661E-2</v>
      </c>
      <c r="C49" s="5" t="s">
        <v>23</v>
      </c>
      <c r="D49" s="74">
        <f>SUM(D44:D48)</f>
        <v>88.4</v>
      </c>
      <c r="E49" s="7" t="s">
        <v>15</v>
      </c>
    </row>
    <row r="50" spans="1:5" ht="13.5" x14ac:dyDescent="0.2">
      <c r="A50" s="91" t="s">
        <v>163</v>
      </c>
      <c r="B50" s="245" t="s">
        <v>162</v>
      </c>
      <c r="C50" s="236"/>
      <c r="D50" s="236"/>
      <c r="E50" s="237"/>
    </row>
    <row r="51" spans="1:5" ht="14.25" thickBot="1" x14ac:dyDescent="0.25">
      <c r="A51" s="77" t="s">
        <v>147</v>
      </c>
      <c r="B51" s="230" t="s">
        <v>169</v>
      </c>
      <c r="C51" s="231"/>
      <c r="D51" s="231"/>
      <c r="E51" s="232"/>
    </row>
    <row r="52" spans="1:5" ht="16.5" customHeight="1" thickBot="1" x14ac:dyDescent="0.25">
      <c r="A52" s="8" t="s">
        <v>66</v>
      </c>
      <c r="B52" s="87">
        <f>SUM(B49,B39,B25,B20)</f>
        <v>0.71579416779062255</v>
      </c>
      <c r="C52" s="10" t="s">
        <v>67</v>
      </c>
      <c r="D52" s="88">
        <f>SUM(D20,D25,D39,D49)</f>
        <v>1672.7799999999997</v>
      </c>
      <c r="E52" s="11" t="s">
        <v>15</v>
      </c>
    </row>
    <row r="53" spans="1:5" ht="13.5" thickBot="1" x14ac:dyDescent="0.25">
      <c r="A53" s="78"/>
      <c r="B53" s="78"/>
      <c r="C53" s="78"/>
      <c r="D53" s="61"/>
      <c r="E53" s="78"/>
    </row>
    <row r="54" spans="1:5" ht="16.5" customHeight="1" thickBot="1" x14ac:dyDescent="0.25">
      <c r="A54" s="225" t="s">
        <v>177</v>
      </c>
      <c r="B54" s="226"/>
      <c r="C54" s="226"/>
      <c r="D54" s="226"/>
      <c r="E54" s="227"/>
    </row>
    <row r="55" spans="1:5" ht="17.25" customHeight="1" x14ac:dyDescent="0.2">
      <c r="A55" s="3" t="s">
        <v>176</v>
      </c>
      <c r="B55" s="84" t="s">
        <v>14</v>
      </c>
      <c r="C55" s="1" t="s">
        <v>19</v>
      </c>
      <c r="D55" s="23" t="s">
        <v>14</v>
      </c>
      <c r="E55" s="2" t="s">
        <v>20</v>
      </c>
    </row>
    <row r="56" spans="1:5" ht="14.25" x14ac:dyDescent="0.2">
      <c r="A56" s="28" t="s">
        <v>202</v>
      </c>
      <c r="B56" s="85">
        <v>26.47</v>
      </c>
      <c r="C56" s="26" t="str">
        <f>B56 &amp; " * 22"</f>
        <v>26,47 * 22</v>
      </c>
      <c r="D56" s="73">
        <f>TRUNC(B56*22,2)</f>
        <v>582.34</v>
      </c>
      <c r="E56" s="27" t="s">
        <v>180</v>
      </c>
    </row>
    <row r="57" spans="1:5" ht="25.5" x14ac:dyDescent="0.2">
      <c r="A57" s="28" t="s">
        <v>90</v>
      </c>
      <c r="B57" s="85">
        <v>6</v>
      </c>
      <c r="C57" s="26" t="str">
        <f>B57&amp; " * 4 * 22"</f>
        <v>6 * 4 * 22</v>
      </c>
      <c r="D57" s="73">
        <f>TRUNC(B57*22*4,2)</f>
        <v>528</v>
      </c>
      <c r="E57" s="27" t="s">
        <v>68</v>
      </c>
    </row>
    <row r="58" spans="1:5" ht="17.25" customHeight="1" x14ac:dyDescent="0.2">
      <c r="A58" s="28" t="s">
        <v>91</v>
      </c>
      <c r="B58" s="85">
        <f>D58</f>
        <v>-140.22</v>
      </c>
      <c r="C58" s="26" t="s">
        <v>69</v>
      </c>
      <c r="D58" s="73">
        <f>IF(D57&gt;=TRUNC(0.06*D7,2),TRUNC(-0.06*D7,2),-D57)</f>
        <v>-140.22</v>
      </c>
      <c r="E58" s="62" t="s">
        <v>95</v>
      </c>
    </row>
    <row r="59" spans="1:5" ht="17.25" customHeight="1" x14ac:dyDescent="0.2">
      <c r="A59" s="28" t="s">
        <v>80</v>
      </c>
      <c r="B59" s="85">
        <f>'Quadro Resumo'!C17</f>
        <v>0</v>
      </c>
      <c r="C59" s="26" t="str">
        <f>B59 &amp; " * 3"</f>
        <v>0 * 3</v>
      </c>
      <c r="D59" s="73">
        <f>ROUND(B59*3,2)</f>
        <v>0</v>
      </c>
      <c r="E59" s="140" t="s">
        <v>200</v>
      </c>
    </row>
    <row r="60" spans="1:5" ht="17.25" customHeight="1" x14ac:dyDescent="0.2">
      <c r="A60" s="68" t="s">
        <v>144</v>
      </c>
      <c r="B60" s="141">
        <f>'Quadro Resumo'!C18</f>
        <v>0</v>
      </c>
      <c r="C60" s="58" t="str">
        <f>B60&amp;" * 3/12"</f>
        <v>0 * 3/12</v>
      </c>
      <c r="D60" s="73">
        <f>ROUND(B60*3/12,2)</f>
        <v>0</v>
      </c>
      <c r="E60" s="140" t="s">
        <v>200</v>
      </c>
    </row>
    <row r="61" spans="1:5" ht="31.5" customHeight="1" x14ac:dyDescent="0.2">
      <c r="A61" s="29" t="s">
        <v>148</v>
      </c>
      <c r="B61" s="85">
        <f>'CUSTOS DE VALOR SUBJETIVO'!B7</f>
        <v>0</v>
      </c>
      <c r="C61" s="58" t="s">
        <v>153</v>
      </c>
      <c r="D61" s="75">
        <f>B61</f>
        <v>0</v>
      </c>
      <c r="E61" s="82" t="s">
        <v>101</v>
      </c>
    </row>
    <row r="62" spans="1:5" ht="17.25" customHeight="1" thickBot="1" x14ac:dyDescent="0.25">
      <c r="A62" s="4" t="s">
        <v>108</v>
      </c>
      <c r="B62" s="86"/>
      <c r="C62" s="5" t="s">
        <v>23</v>
      </c>
      <c r="D62" s="74">
        <f>SUM(D56:D61)</f>
        <v>970.12000000000012</v>
      </c>
      <c r="E62" s="7" t="s">
        <v>15</v>
      </c>
    </row>
    <row r="63" spans="1:5" x14ac:dyDescent="0.2">
      <c r="A63" s="242" t="s">
        <v>201</v>
      </c>
      <c r="B63" s="243"/>
      <c r="C63" s="243"/>
      <c r="D63" s="243"/>
      <c r="E63" s="243"/>
    </row>
    <row r="64" spans="1:5" ht="13.5" thickBot="1" x14ac:dyDescent="0.25">
      <c r="A64" s="244"/>
      <c r="B64" s="244"/>
      <c r="C64" s="244"/>
      <c r="D64" s="244"/>
      <c r="E64" s="244"/>
    </row>
    <row r="65" spans="1:5" ht="30.75" customHeight="1" thickBot="1" x14ac:dyDescent="0.25">
      <c r="A65" s="12" t="s">
        <v>70</v>
      </c>
      <c r="B65" s="9" t="s">
        <v>15</v>
      </c>
      <c r="C65" s="9" t="s">
        <v>71</v>
      </c>
      <c r="D65" s="32">
        <f>SUM(D8,D52,D62)</f>
        <v>4980.0199999999995</v>
      </c>
      <c r="E65" s="11" t="s">
        <v>15</v>
      </c>
    </row>
    <row r="66" spans="1:5" ht="13.5" thickBot="1" x14ac:dyDescent="0.25">
      <c r="A66" s="63"/>
      <c r="B66" s="64"/>
      <c r="C66" s="64"/>
      <c r="D66" s="65"/>
      <c r="E66" s="66"/>
    </row>
    <row r="67" spans="1:5" ht="17.25" customHeight="1" x14ac:dyDescent="0.2">
      <c r="A67" s="3" t="s">
        <v>137</v>
      </c>
      <c r="B67" s="1" t="s">
        <v>26</v>
      </c>
      <c r="C67" s="1" t="s">
        <v>19</v>
      </c>
      <c r="D67" s="23" t="s">
        <v>14</v>
      </c>
      <c r="E67" s="2" t="s">
        <v>20</v>
      </c>
    </row>
    <row r="68" spans="1:5" ht="17.25" customHeight="1" x14ac:dyDescent="0.2">
      <c r="A68" s="28" t="s">
        <v>114</v>
      </c>
      <c r="B68" s="69">
        <f>'Quadro Resumo'!C12</f>
        <v>0</v>
      </c>
      <c r="C68" s="142" t="s">
        <v>15</v>
      </c>
      <c r="D68" s="83">
        <f>TRUNC(B68*D65,2)</f>
        <v>0</v>
      </c>
      <c r="E68" s="40" t="s">
        <v>15</v>
      </c>
    </row>
    <row r="69" spans="1:5" ht="30.75" customHeight="1" x14ac:dyDescent="0.2">
      <c r="A69" s="28" t="s">
        <v>9</v>
      </c>
      <c r="B69" s="69">
        <f>'Quadro Resumo'!C13</f>
        <v>0</v>
      </c>
      <c r="C69" s="26" t="s">
        <v>153</v>
      </c>
      <c r="D69" s="83">
        <f>TRUNC(B69*D65,2)</f>
        <v>0</v>
      </c>
      <c r="E69" s="27" t="s">
        <v>154</v>
      </c>
    </row>
    <row r="70" spans="1:5" ht="16.5" customHeight="1" thickBot="1" x14ac:dyDescent="0.25">
      <c r="A70" s="4" t="s">
        <v>72</v>
      </c>
      <c r="B70" s="33">
        <f>SUM(B68:B69)</f>
        <v>0</v>
      </c>
      <c r="C70" s="5" t="s">
        <v>23</v>
      </c>
      <c r="D70" s="72">
        <f>SUM(D68:D69)</f>
        <v>0</v>
      </c>
      <c r="E70" s="7" t="s">
        <v>15</v>
      </c>
    </row>
    <row r="71" spans="1:5" ht="24" customHeight="1" thickBot="1" x14ac:dyDescent="0.25">
      <c r="A71" s="100"/>
      <c r="B71" s="78"/>
      <c r="C71" s="78"/>
      <c r="D71" s="39"/>
      <c r="E71" s="78"/>
    </row>
    <row r="72" spans="1:5" ht="16.5" customHeight="1" x14ac:dyDescent="0.2">
      <c r="A72" s="13" t="s">
        <v>73</v>
      </c>
      <c r="B72" s="1" t="s">
        <v>26</v>
      </c>
      <c r="C72" s="1" t="s">
        <v>19</v>
      </c>
      <c r="D72" s="23" t="s">
        <v>14</v>
      </c>
      <c r="E72" s="2" t="s">
        <v>20</v>
      </c>
    </row>
    <row r="73" spans="1:5" ht="16.5" customHeight="1" x14ac:dyDescent="0.2">
      <c r="A73" s="28" t="s">
        <v>10</v>
      </c>
      <c r="B73" s="69">
        <f>'Quadro Resumo'!C25</f>
        <v>0</v>
      </c>
      <c r="C73" s="228" t="s">
        <v>113</v>
      </c>
      <c r="D73" s="73">
        <f>TRUNC((($D$65+$D$70)/(1-(($B$73+$B$74+$B$75))))*(B73),2)</f>
        <v>0</v>
      </c>
      <c r="E73" s="62" t="s">
        <v>98</v>
      </c>
    </row>
    <row r="74" spans="1:5" ht="16.5" customHeight="1" x14ac:dyDescent="0.2">
      <c r="A74" s="28" t="s">
        <v>11</v>
      </c>
      <c r="B74" s="69">
        <f>'Quadro Resumo'!C26</f>
        <v>0</v>
      </c>
      <c r="C74" s="229"/>
      <c r="D74" s="73">
        <f>TRUNC((($D$65+$D$70)/(1-(($B$73+$B$74+$B$75))))*(B74),2)</f>
        <v>0</v>
      </c>
      <c r="E74" s="27" t="s">
        <v>97</v>
      </c>
    </row>
    <row r="75" spans="1:5" ht="16.5" customHeight="1" x14ac:dyDescent="0.2">
      <c r="A75" s="28" t="s">
        <v>12</v>
      </c>
      <c r="B75" s="69">
        <f>'Quadro Resumo'!C27</f>
        <v>0</v>
      </c>
      <c r="C75" s="229"/>
      <c r="D75" s="73">
        <f>TRUNC((($D$65+$D$70)/(1-(($B$73+$B$74+$B$75))))*(B75),2)</f>
        <v>0</v>
      </c>
      <c r="E75" s="62" t="s">
        <v>96</v>
      </c>
    </row>
    <row r="76" spans="1:5" ht="16.5" customHeight="1" thickBot="1" x14ac:dyDescent="0.25">
      <c r="A76" s="4" t="s">
        <v>74</v>
      </c>
      <c r="B76" s="33">
        <f>SUM(B73:B75)</f>
        <v>0</v>
      </c>
      <c r="C76" s="5" t="s">
        <v>23</v>
      </c>
      <c r="D76" s="74">
        <f>SUM(D73:D75)</f>
        <v>0</v>
      </c>
      <c r="E76" s="7" t="s">
        <v>15</v>
      </c>
    </row>
    <row r="77" spans="1:5" ht="13.5" thickBot="1" x14ac:dyDescent="0.25">
      <c r="A77" s="68"/>
      <c r="B77" s="78"/>
      <c r="C77" s="78"/>
      <c r="D77" s="39"/>
      <c r="E77" s="78"/>
    </row>
    <row r="78" spans="1:5" ht="16.5" customHeight="1" thickBot="1" x14ac:dyDescent="0.25">
      <c r="A78" s="14" t="s">
        <v>75</v>
      </c>
      <c r="B78" s="15" t="s">
        <v>15</v>
      </c>
      <c r="C78" s="1" t="s">
        <v>19</v>
      </c>
      <c r="D78" s="24" t="s">
        <v>76</v>
      </c>
      <c r="E78" s="2" t="s">
        <v>77</v>
      </c>
    </row>
    <row r="79" spans="1:5" ht="16.5" customHeight="1" thickBot="1" x14ac:dyDescent="0.25">
      <c r="A79" s="16"/>
      <c r="B79" s="17" t="s">
        <v>15</v>
      </c>
      <c r="C79" s="17" t="s">
        <v>78</v>
      </c>
      <c r="D79" s="94">
        <f>TRUNC(SUM(D65,D70,D76),2)</f>
        <v>4980.0200000000004</v>
      </c>
      <c r="E79" s="31">
        <f>D79*12</f>
        <v>59760.240000000005</v>
      </c>
    </row>
    <row r="80" spans="1:5" x14ac:dyDescent="0.2">
      <c r="A80" s="34"/>
      <c r="B80" s="34"/>
      <c r="C80" s="34"/>
      <c r="D80" s="67"/>
      <c r="E80" s="34"/>
    </row>
  </sheetData>
  <sheetProtection algorithmName="SHA-512" hashValue="J1PjdH679W6yEFWjWn8OSwD1n1PTTtaLzAfOT0/GMt0GHaElyAEyPJCazVirnIaqa25XACQqE/PJCh+uVUsdOA==" saltValue="nT4njq7bURklmzJl6pYCLg==" spinCount="100000" sheet="1" objects="1" scenarios="1"/>
  <mergeCells count="10">
    <mergeCell ref="C73:C75"/>
    <mergeCell ref="A1:E1"/>
    <mergeCell ref="B50:E50"/>
    <mergeCell ref="B51:E51"/>
    <mergeCell ref="A10:E10"/>
    <mergeCell ref="A54:E54"/>
    <mergeCell ref="D40:E40"/>
    <mergeCell ref="B41:D41"/>
    <mergeCell ref="A3:C3"/>
    <mergeCell ref="A63:E64"/>
  </mergeCells>
  <conditionalFormatting sqref="B61">
    <cfRule type="expression" dxfId="0" priority="32">
      <formula>ISBLANK($B$61)</formula>
    </cfRule>
  </conditionalFormatting>
  <pageMargins left="0.51181102362204722" right="0.51181102362204722" top="0.78740157480314965" bottom="0.78740157480314965" header="0.31496062992125984" footer="0.31496062992125984"/>
  <pageSetup paperSize="9" scale="42" fitToHeight="0" orientation="portrait" r:id="rId1"/>
  <ignoredErrors>
    <ignoredError sqref="B30" evalError="1"/>
    <ignoredError sqref="D36 D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FCE47CF9619844B8FC6AB8479F2F7A" ma:contentTypeVersion="12" ma:contentTypeDescription="Crie um novo documento." ma:contentTypeScope="" ma:versionID="78c8dadc8bba5a3eb55202d3143e3ed7">
  <xsd:schema xmlns:xsd="http://www.w3.org/2001/XMLSchema" xmlns:xs="http://www.w3.org/2001/XMLSchema" xmlns:p="http://schemas.microsoft.com/office/2006/metadata/properties" xmlns:ns3="522199c7-6f4c-4fc4-a52a-1403af7544f1" xmlns:ns4="f0a42df6-cf96-4ab3-a325-a91c13dbbf17" targetNamespace="http://schemas.microsoft.com/office/2006/metadata/properties" ma:root="true" ma:fieldsID="ca0f836d84356a7979d9c832552aab2e" ns3:_="" ns4:_="">
    <xsd:import namespace="522199c7-6f4c-4fc4-a52a-1403af7544f1"/>
    <xsd:import namespace="f0a42df6-cf96-4ab3-a325-a91c13dbbf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199c7-6f4c-4fc4-a52a-1403af7544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42df6-cf96-4ab3-a325-a91c13dbb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a42df6-cf96-4ab3-a325-a91c13dbbf17" xsi:nil="true"/>
  </documentManagement>
</p:properties>
</file>

<file path=customXml/itemProps1.xml><?xml version="1.0" encoding="utf-8"?>
<ds:datastoreItem xmlns:ds="http://schemas.openxmlformats.org/officeDocument/2006/customXml" ds:itemID="{E49A1404-034B-40E2-8512-FF608102D9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BA405-A8E3-4350-8502-D64AA77F9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199c7-6f4c-4fc4-a52a-1403af7544f1"/>
    <ds:schemaRef ds:uri="f0a42df6-cf96-4ab3-a325-a91c13dbb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84F2C-D662-45DE-96D4-FF2E8BAA8A43}">
  <ds:schemaRefs>
    <ds:schemaRef ds:uri="http://www.w3.org/XML/1998/namespace"/>
    <ds:schemaRef ds:uri="http://purl.org/dc/elements/1.1/"/>
    <ds:schemaRef ds:uri="f0a42df6-cf96-4ab3-a325-a91c13dbbf17"/>
    <ds:schemaRef ds:uri="http://purl.org/dc/dcmitype/"/>
    <ds:schemaRef ds:uri="http://schemas.microsoft.com/office/infopath/2007/PartnerControls"/>
    <ds:schemaRef ds:uri="522199c7-6f4c-4fc4-a52a-1403af7544f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Variáveis</vt:lpstr>
      <vt:lpstr>CUSTOS DE VALOR SUBJETIVO</vt:lpstr>
      <vt:lpstr>Quadro Resumo</vt:lpstr>
      <vt:lpstr>Posto 1</vt:lpstr>
      <vt:lpstr>Posto 2</vt:lpstr>
      <vt:lpstr>'Quadro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Júnior</dc:creator>
  <cp:lastModifiedBy>Sergio Vieira de Souza Junior</cp:lastModifiedBy>
  <cp:revision/>
  <cp:lastPrinted>2019-06-07T23:18:40Z</cp:lastPrinted>
  <dcterms:created xsi:type="dcterms:W3CDTF">2002-08-29T12:27:38Z</dcterms:created>
  <dcterms:modified xsi:type="dcterms:W3CDTF">2023-06-02T17:51:47Z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0x01010034FCE47CF9619844B8FC6AB8479F2F7A</vt:lpwstr>
  </property>
</Properties>
</file>