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rgi\Downloads\Ar condicionado\"/>
    </mc:Choice>
  </mc:AlternateContent>
  <xr:revisionPtr revIDLastSave="0" documentId="13_ncr:1_{411F83AE-6B0B-4812-8C8D-1C683D6B2E4D}" xr6:coauthVersionLast="45" xr6:coauthVersionMax="45" xr10:uidLastSave="{00000000-0000-0000-0000-000000000000}"/>
  <bookViews>
    <workbookView xWindow="0" yWindow="0" windowWidth="23040" windowHeight="12360" tabRatio="928" activeTab="1" xr2:uid="{00000000-000D-0000-FFFF-FFFF00000000}"/>
  </bookViews>
  <sheets>
    <sheet name="BASE" sheetId="8" r:id="rId1"/>
    <sheet name="PLANILHA - RN" sheetId="1" r:id="rId2"/>
    <sheet name="PLANILHA - RE - 55" sheetId="5" r:id="rId3"/>
    <sheet name="PLANILHA - RE - 70" sheetId="6" r:id="rId4"/>
    <sheet name="PLANILHA - RE - 95" sheetId="7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3" i="1" l="1"/>
  <c r="B31" i="1" l="1"/>
  <c r="B23" i="6" l="1"/>
  <c r="B23" i="7"/>
  <c r="B23" i="5"/>
  <c r="B22" i="6"/>
  <c r="B22" i="7"/>
  <c r="B22" i="5"/>
  <c r="D5" i="1" l="1"/>
  <c r="D7" i="1" s="1"/>
  <c r="D59" i="1"/>
  <c r="B34" i="1" l="1"/>
  <c r="B42" i="7" l="1"/>
  <c r="B34" i="7"/>
  <c r="B42" i="6"/>
  <c r="B34" i="6"/>
  <c r="B42" i="5"/>
  <c r="B34" i="5"/>
  <c r="D71" i="1" l="1"/>
  <c r="D70" i="1"/>
  <c r="D73" i="1"/>
  <c r="B45" i="1" l="1"/>
  <c r="D45" i="1" s="1"/>
  <c r="B43" i="1"/>
  <c r="B44" i="1" l="1"/>
  <c r="D44" i="1" s="1"/>
  <c r="D43" i="1"/>
  <c r="D63" i="1"/>
  <c r="D4" i="7"/>
  <c r="D7" i="7" s="1"/>
  <c r="D8" i="7" s="1"/>
  <c r="B48" i="7"/>
  <c r="B47" i="7"/>
  <c r="B46" i="7"/>
  <c r="B41" i="7"/>
  <c r="B43" i="7" s="1"/>
  <c r="D34" i="7"/>
  <c r="D35" i="7" s="1"/>
  <c r="B27" i="7"/>
  <c r="B21" i="7"/>
  <c r="B48" i="6"/>
  <c r="B47" i="6"/>
  <c r="B46" i="6"/>
  <c r="B41" i="6"/>
  <c r="B43" i="6" s="1"/>
  <c r="D34" i="6"/>
  <c r="D35" i="6" s="1"/>
  <c r="B27" i="6"/>
  <c r="B21" i="6"/>
  <c r="D34" i="5"/>
  <c r="D35" i="5" s="1"/>
  <c r="M1" i="8"/>
  <c r="M2" i="8" s="1"/>
  <c r="S2" i="8" s="1"/>
  <c r="B24" i="6" l="1"/>
  <c r="B28" i="6" s="1"/>
  <c r="B29" i="6" s="1"/>
  <c r="B31" i="6" s="1"/>
  <c r="B24" i="7"/>
  <c r="B28" i="7" s="1"/>
  <c r="B29" i="7" s="1"/>
  <c r="B31" i="7" s="1"/>
  <c r="M17" i="8"/>
  <c r="M18" i="8"/>
  <c r="M16" i="8"/>
  <c r="S16" i="8" s="1"/>
  <c r="M5" i="8"/>
  <c r="S5" i="8" s="1"/>
  <c r="B49" i="6"/>
  <c r="D4" i="6"/>
  <c r="D7" i="6" s="1"/>
  <c r="D8" i="6" s="1"/>
  <c r="B49" i="7"/>
  <c r="M4" i="8"/>
  <c r="S4" i="8" s="1"/>
  <c r="M8" i="8"/>
  <c r="S8" i="8" s="1"/>
  <c r="M3" i="8"/>
  <c r="S3" i="8" s="1"/>
  <c r="M7" i="8"/>
  <c r="S7" i="8" s="1"/>
  <c r="M15" i="8"/>
  <c r="S15" i="8" s="1"/>
  <c r="N1" i="8"/>
  <c r="M10" i="8"/>
  <c r="S10" i="8" s="1"/>
  <c r="M11" i="8"/>
  <c r="S11" i="8" s="1"/>
  <c r="M19" i="8"/>
  <c r="M20" i="8" s="1"/>
  <c r="M6" i="8"/>
  <c r="S6" i="8" s="1"/>
  <c r="M9" i="8"/>
  <c r="S9" i="8" s="1"/>
  <c r="M21" i="8" l="1"/>
  <c r="M22" i="8" s="1"/>
  <c r="M23" i="8" s="1"/>
  <c r="M12" i="8" s="1"/>
  <c r="S12" i="8" s="1"/>
  <c r="N5" i="8"/>
  <c r="S20" i="8" s="1"/>
  <c r="N17" i="8"/>
  <c r="N16" i="8"/>
  <c r="S31" i="8" s="1"/>
  <c r="N18" i="8"/>
  <c r="N9" i="8"/>
  <c r="S24" i="8" s="1"/>
  <c r="O1" i="8"/>
  <c r="N19" i="8"/>
  <c r="N20" i="8" s="1"/>
  <c r="N15" i="8"/>
  <c r="S30" i="8" s="1"/>
  <c r="N7" i="8"/>
  <c r="S22" i="8" s="1"/>
  <c r="N3" i="8"/>
  <c r="S18" i="8" s="1"/>
  <c r="N10" i="8"/>
  <c r="S25" i="8" s="1"/>
  <c r="N6" i="8"/>
  <c r="S21" i="8" s="1"/>
  <c r="N11" i="8"/>
  <c r="S26" i="8" s="1"/>
  <c r="N8" i="8"/>
  <c r="S23" i="8" s="1"/>
  <c r="N4" i="8"/>
  <c r="S19" i="8" s="1"/>
  <c r="N2" i="8"/>
  <c r="S17" i="8" s="1"/>
  <c r="O5" i="8" l="1"/>
  <c r="S35" i="8" s="1"/>
  <c r="O18" i="8"/>
  <c r="O17" i="8"/>
  <c r="O16" i="8"/>
  <c r="S46" i="8" s="1"/>
  <c r="O10" i="8"/>
  <c r="S40" i="8" s="1"/>
  <c r="O6" i="8"/>
  <c r="S36" i="8" s="1"/>
  <c r="O19" i="8"/>
  <c r="O20" i="8" s="1"/>
  <c r="O11" i="8"/>
  <c r="S41" i="8" s="1"/>
  <c r="O8" i="8"/>
  <c r="S38" i="8" s="1"/>
  <c r="P1" i="8"/>
  <c r="O15" i="8"/>
  <c r="S45" i="8" s="1"/>
  <c r="O7" i="8"/>
  <c r="S37" i="8" s="1"/>
  <c r="O3" i="8"/>
  <c r="S33" i="8" s="1"/>
  <c r="O4" i="8"/>
  <c r="S34" i="8" s="1"/>
  <c r="O2" i="8"/>
  <c r="S32" i="8" s="1"/>
  <c r="O9" i="8"/>
  <c r="S39" i="8" s="1"/>
  <c r="M13" i="8"/>
  <c r="S13" i="8" s="1"/>
  <c r="M14" i="8"/>
  <c r="S14" i="8" s="1"/>
  <c r="N21" i="8"/>
  <c r="N22" i="8" s="1"/>
  <c r="N23" i="8" s="1"/>
  <c r="N12" i="8" s="1"/>
  <c r="S27" i="8" s="1"/>
  <c r="P5" i="8" l="1"/>
  <c r="S50" i="8" s="1"/>
  <c r="P16" i="8"/>
  <c r="S61" i="8" s="1"/>
  <c r="P18" i="8"/>
  <c r="P17" i="8"/>
  <c r="N13" i="8"/>
  <c r="S28" i="8" s="1"/>
  <c r="N14" i="8"/>
  <c r="S29" i="8" s="1"/>
  <c r="P10" i="8"/>
  <c r="S55" i="8" s="1"/>
  <c r="P6" i="8"/>
  <c r="S51" i="8" s="1"/>
  <c r="Q1" i="8"/>
  <c r="P3" i="8"/>
  <c r="S48" i="8" s="1"/>
  <c r="P4" i="8"/>
  <c r="S49" i="8" s="1"/>
  <c r="P2" i="8"/>
  <c r="S47" i="8" s="1"/>
  <c r="P19" i="8"/>
  <c r="P20" i="8" s="1"/>
  <c r="P15" i="8"/>
  <c r="S60" i="8" s="1"/>
  <c r="P11" i="8"/>
  <c r="S56" i="8" s="1"/>
  <c r="P7" i="8"/>
  <c r="S52" i="8" s="1"/>
  <c r="P8" i="8"/>
  <c r="S53" i="8" s="1"/>
  <c r="P9" i="8"/>
  <c r="S54" i="8" s="1"/>
  <c r="O21" i="8"/>
  <c r="O22" i="8" s="1"/>
  <c r="O23" i="8" s="1"/>
  <c r="O12" i="8" s="1"/>
  <c r="S42" i="8" s="1"/>
  <c r="Q5" i="8" l="1"/>
  <c r="S65" i="8" s="1"/>
  <c r="Q16" i="8"/>
  <c r="S76" i="8" s="1"/>
  <c r="Q18" i="8"/>
  <c r="Q17" i="8"/>
  <c r="O14" i="8"/>
  <c r="S44" i="8" s="1"/>
  <c r="O13" i="8"/>
  <c r="S43" i="8" s="1"/>
  <c r="P21" i="8"/>
  <c r="P22" i="8" s="1"/>
  <c r="P23" i="8" s="1"/>
  <c r="P12" i="8" s="1"/>
  <c r="S57" i="8" s="1"/>
  <c r="Q19" i="8"/>
  <c r="Q20" i="8" s="1"/>
  <c r="Q15" i="8"/>
  <c r="S75" i="8" s="1"/>
  <c r="Q11" i="8"/>
  <c r="S71" i="8" s="1"/>
  <c r="Q7" i="8"/>
  <c r="S67" i="8" s="1"/>
  <c r="Q8" i="8"/>
  <c r="S68" i="8" s="1"/>
  <c r="R1" i="8"/>
  <c r="Q3" i="8"/>
  <c r="S63" i="8" s="1"/>
  <c r="Q4" i="8"/>
  <c r="S64" i="8" s="1"/>
  <c r="Q2" i="8"/>
  <c r="S62" i="8" s="1"/>
  <c r="Q9" i="8"/>
  <c r="S69" i="8" s="1"/>
  <c r="Q10" i="8"/>
  <c r="S70" i="8" s="1"/>
  <c r="Q6" i="8"/>
  <c r="S66" i="8" s="1"/>
  <c r="R5" i="8" l="1"/>
  <c r="S80" i="8" s="1"/>
  <c r="R18" i="8"/>
  <c r="R17" i="8"/>
  <c r="R16" i="8"/>
  <c r="S91" i="8" s="1"/>
  <c r="P14" i="8"/>
  <c r="S59" i="8" s="1"/>
  <c r="P13" i="8"/>
  <c r="S58" i="8" s="1"/>
  <c r="R19" i="8"/>
  <c r="R20" i="8" s="1"/>
  <c r="R15" i="8"/>
  <c r="S90" i="8" s="1"/>
  <c r="R11" i="8"/>
  <c r="S86" i="8" s="1"/>
  <c r="R7" i="8"/>
  <c r="S82" i="8" s="1"/>
  <c r="R3" i="8"/>
  <c r="S78" i="8" s="1"/>
  <c r="R9" i="8"/>
  <c r="S84" i="8" s="1"/>
  <c r="R8" i="8"/>
  <c r="S83" i="8" s="1"/>
  <c r="R4" i="8"/>
  <c r="S79" i="8" s="1"/>
  <c r="R2" i="8"/>
  <c r="S77" i="8" s="1"/>
  <c r="R10" i="8"/>
  <c r="S85" i="8" s="1"/>
  <c r="R6" i="8"/>
  <c r="S81" i="8" s="1"/>
  <c r="Q21" i="8"/>
  <c r="Q22" i="8" s="1"/>
  <c r="Q23" i="8" s="1"/>
  <c r="Q12" i="8" s="1"/>
  <c r="S72" i="8" s="1"/>
  <c r="Q13" i="8" l="1"/>
  <c r="S73" i="8" s="1"/>
  <c r="Q14" i="8"/>
  <c r="S74" i="8" s="1"/>
  <c r="R21" i="8"/>
  <c r="R22" i="8" s="1"/>
  <c r="R23" i="8" s="1"/>
  <c r="R12" i="8" s="1"/>
  <c r="S87" i="8" s="1"/>
  <c r="C3" i="8" l="1"/>
  <c r="R13" i="8"/>
  <c r="S88" i="8" s="1"/>
  <c r="R14" i="8"/>
  <c r="S89" i="8" s="1"/>
  <c r="D3" i="8" l="1"/>
  <c r="B48" i="5"/>
  <c r="B47" i="5"/>
  <c r="B46" i="5"/>
  <c r="B41" i="5"/>
  <c r="B43" i="5" s="1"/>
  <c r="B27" i="5"/>
  <c r="B21" i="5"/>
  <c r="B24" i="5" s="1"/>
  <c r="D4" i="5"/>
  <c r="D7" i="5" s="1"/>
  <c r="D8" i="5" s="1"/>
  <c r="D62" i="1"/>
  <c r="D61" i="1"/>
  <c r="D60" i="1"/>
  <c r="D9" i="7" l="1"/>
  <c r="D10" i="7" s="1"/>
  <c r="D9" i="6"/>
  <c r="D10" i="6" s="1"/>
  <c r="D9" i="5"/>
  <c r="B28" i="5"/>
  <c r="B29" i="5" s="1"/>
  <c r="B31" i="5" s="1"/>
  <c r="D34" i="1"/>
  <c r="D72" i="1"/>
  <c r="B49" i="5"/>
  <c r="D64" i="1"/>
  <c r="D65" i="1" s="1"/>
  <c r="B32" i="1"/>
  <c r="B30" i="1"/>
  <c r="B28" i="1"/>
  <c r="B27" i="1"/>
  <c r="B22" i="1"/>
  <c r="B19" i="1"/>
  <c r="D19" i="7" l="1"/>
  <c r="D28" i="7"/>
  <c r="D18" i="7"/>
  <c r="D22" i="7"/>
  <c r="D17" i="7"/>
  <c r="D21" i="7"/>
  <c r="D27" i="7"/>
  <c r="D23" i="7"/>
  <c r="D14" i="7"/>
  <c r="D16" i="7"/>
  <c r="D20" i="7"/>
  <c r="D15" i="7"/>
  <c r="D27" i="6"/>
  <c r="D17" i="6"/>
  <c r="D28" i="6"/>
  <c r="D18" i="6"/>
  <c r="D15" i="6"/>
  <c r="D21" i="6"/>
  <c r="D22" i="6"/>
  <c r="D20" i="6"/>
  <c r="D16" i="6"/>
  <c r="D23" i="6"/>
  <c r="D19" i="6"/>
  <c r="D14" i="6"/>
  <c r="D10" i="5"/>
  <c r="B72" i="1"/>
  <c r="B90" i="1"/>
  <c r="B23" i="1"/>
  <c r="B84" i="1"/>
  <c r="D29" i="7" l="1"/>
  <c r="D29" i="6"/>
  <c r="D24" i="7"/>
  <c r="D24" i="6"/>
  <c r="D22" i="5"/>
  <c r="D23" i="5"/>
  <c r="B46" i="1"/>
  <c r="D18" i="5"/>
  <c r="D16" i="5"/>
  <c r="D15" i="5"/>
  <c r="D14" i="5"/>
  <c r="D20" i="5"/>
  <c r="D19" i="5"/>
  <c r="D17" i="5"/>
  <c r="D27" i="5"/>
  <c r="D28" i="5"/>
  <c r="D21" i="5"/>
  <c r="D74" i="1"/>
  <c r="D77" i="1" s="1"/>
  <c r="B24" i="1"/>
  <c r="D35" i="1" l="1"/>
  <c r="B35" i="1" s="1"/>
  <c r="D31" i="7"/>
  <c r="D38" i="7" s="1"/>
  <c r="D42" i="7" s="1"/>
  <c r="D31" i="6"/>
  <c r="D38" i="6" s="1"/>
  <c r="D42" i="6" s="1"/>
  <c r="D24" i="5"/>
  <c r="D29" i="1"/>
  <c r="B29" i="1" s="1"/>
  <c r="D29" i="5"/>
  <c r="B37" i="1" l="1"/>
  <c r="D37" i="1" s="1"/>
  <c r="B51" i="1"/>
  <c r="D41" i="7"/>
  <c r="D43" i="7" s="1"/>
  <c r="D46" i="7" s="1"/>
  <c r="D41" i="6"/>
  <c r="D43" i="6" s="1"/>
  <c r="D48" i="6" s="1"/>
  <c r="B36" i="1"/>
  <c r="D31" i="5"/>
  <c r="D38" i="5" s="1"/>
  <c r="D17" i="1"/>
  <c r="D27" i="1"/>
  <c r="D13" i="1"/>
  <c r="D28" i="1"/>
  <c r="D16" i="1"/>
  <c r="D31" i="1"/>
  <c r="D12" i="1"/>
  <c r="D22" i="1"/>
  <c r="D14" i="1"/>
  <c r="D18" i="1"/>
  <c r="D32" i="1"/>
  <c r="D11" i="1"/>
  <c r="D15" i="1"/>
  <c r="D23" i="1"/>
  <c r="D33" i="1"/>
  <c r="D30" i="1"/>
  <c r="D51" i="1" l="1"/>
  <c r="D53" i="1" s="1"/>
  <c r="B53" i="1"/>
  <c r="D46" i="6"/>
  <c r="D47" i="6"/>
  <c r="D48" i="7"/>
  <c r="D47" i="7"/>
  <c r="D24" i="1"/>
  <c r="D19" i="1"/>
  <c r="D49" i="6" l="1"/>
  <c r="D52" i="6" s="1"/>
  <c r="D55" i="6" s="1"/>
  <c r="E55" i="6" s="1"/>
  <c r="D49" i="7"/>
  <c r="D52" i="7" s="1"/>
  <c r="E52" i="7" s="1"/>
  <c r="D46" i="1"/>
  <c r="D42" i="5"/>
  <c r="D41" i="5"/>
  <c r="D97" i="1" l="1"/>
  <c r="E97" i="1" s="1"/>
  <c r="E52" i="6"/>
  <c r="D55" i="7"/>
  <c r="E55" i="7" s="1"/>
  <c r="D43" i="5"/>
  <c r="D98" i="1" l="1"/>
  <c r="E98" i="1" s="1"/>
  <c r="D47" i="5"/>
  <c r="D48" i="5"/>
  <c r="D46" i="5"/>
  <c r="D49" i="5" l="1"/>
  <c r="D52" i="5" s="1"/>
  <c r="D55" i="5" s="1"/>
  <c r="E52" i="5" l="1"/>
  <c r="D96" i="1"/>
  <c r="E55" i="5"/>
  <c r="B38" i="1"/>
  <c r="B55" i="1" s="1"/>
  <c r="D36" i="1"/>
  <c r="D38" i="1" s="1"/>
  <c r="D55" i="1" s="1"/>
  <c r="D79" i="1" s="1"/>
  <c r="D82" i="1" l="1"/>
  <c r="D102" i="1"/>
  <c r="D83" i="1"/>
  <c r="D84" i="1" l="1"/>
  <c r="E102" i="1"/>
  <c r="D88" i="1" l="1"/>
  <c r="D87" i="1"/>
  <c r="D89" i="1"/>
  <c r="D90" i="1" l="1"/>
  <c r="D93" i="1" s="1"/>
  <c r="D101" i="1" s="1"/>
  <c r="D103" i="1" s="1"/>
  <c r="E103" i="1" s="1"/>
  <c r="E96" i="1"/>
  <c r="E93" i="1" l="1"/>
  <c r="E101" i="1"/>
</calcChain>
</file>

<file path=xl/sharedStrings.xml><?xml version="1.0" encoding="utf-8"?>
<sst xmlns="http://schemas.openxmlformats.org/spreadsheetml/2006/main" count="703" uniqueCount="247">
  <si>
    <t>VALOR</t>
  </si>
  <si>
    <t>-</t>
  </si>
  <si>
    <t>Carga horária de 220h</t>
  </si>
  <si>
    <t>QUANTIDADE</t>
  </si>
  <si>
    <t>MEMÓRIA DE CÁLCULO</t>
  </si>
  <si>
    <t>FUNDAMENTO</t>
  </si>
  <si>
    <t>TOTAL II</t>
  </si>
  <si>
    <t>(soma)</t>
  </si>
  <si>
    <t>III - ENCARGOS SOCIAIS E TRABALHISTAS</t>
  </si>
  <si>
    <t>GRUPO III-A - Encargos previdenciários, FGTS e outras contribuições</t>
  </si>
  <si>
    <t>PERCENTUAL</t>
  </si>
  <si>
    <t>A.01 INSS</t>
  </si>
  <si>
    <t>20,000% * TOTAL II</t>
  </si>
  <si>
    <t>Art. 22, inciso I da Lei nº 8.212/91</t>
  </si>
  <si>
    <t>A.02 FGTS</t>
  </si>
  <si>
    <t>8,000% * TOTAL II</t>
  </si>
  <si>
    <t>Art. 15, Lei 8.030/90, e  Art. 7º , III, CF.</t>
  </si>
  <si>
    <t>A.03 SESI/SESC</t>
  </si>
  <si>
    <t>1,500% * TOTAL II</t>
  </si>
  <si>
    <t>Art. 30, Lei 8.036/90.</t>
  </si>
  <si>
    <t>A.04 SENAI/SENAC</t>
  </si>
  <si>
    <t>1,000% * TOTAL II</t>
  </si>
  <si>
    <t>Decreto 2.318/86.</t>
  </si>
  <si>
    <t>A.05 INCRA</t>
  </si>
  <si>
    <t>0,200% * TOTAL II</t>
  </si>
  <si>
    <t>Lei 7.787/89 e DL 1.146/70.</t>
  </si>
  <si>
    <t>A.06 SEBRAE</t>
  </si>
  <si>
    <t>0,600% * TOTAL II</t>
  </si>
  <si>
    <t>Art. 8º, Lei 8.029/90, e Lei 8.154/90.</t>
  </si>
  <si>
    <t>A.07 Salário educação</t>
  </si>
  <si>
    <t>2,500% * TOTAL II</t>
  </si>
  <si>
    <t>Art. 3º, I, Decreto 87.043/82.</t>
  </si>
  <si>
    <t>A.08 Riscos ambientais do trabalho - RAT x FAP</t>
  </si>
  <si>
    <t>%(RAT*FAP) * TOTAL II</t>
  </si>
  <si>
    <t>Art. 22, inciso II, Lei nº 8.212/91 e Resolução MPS/CNPS Nº 1.316/10</t>
  </si>
  <si>
    <t>TOTAL III-A</t>
  </si>
  <si>
    <t>GRUPO III-B - 13º salário</t>
  </si>
  <si>
    <t>B.01 13º salário</t>
  </si>
  <si>
    <t>(1/12) * TOTAL II</t>
  </si>
  <si>
    <t>Art. 7º, VIII, CF/88.</t>
  </si>
  <si>
    <t>B.02 Incidência dos encargos do grupo A sobre o 13º</t>
  </si>
  <si>
    <t>%TOTAL III-A * %B.01 * TOTAL II</t>
  </si>
  <si>
    <t>Art. 15, da Lei 8.036/90, e o art. 214 do Decreto 3.048/1999</t>
  </si>
  <si>
    <t>TOTAL III-B</t>
  </si>
  <si>
    <t>C.01 Férias</t>
  </si>
  <si>
    <t>Art. 7º, XVII, CF/88 e arts. 129 a 153 da CLT.</t>
  </si>
  <si>
    <t>C.02 Adicional de férias</t>
  </si>
  <si>
    <r>
      <t>C.03 Insumos e benefícios</t>
    </r>
    <r>
      <rPr>
        <vertAlign val="superscript"/>
        <sz val="10"/>
        <rFont val="Arial"/>
        <family val="2"/>
      </rPr>
      <t>1</t>
    </r>
  </si>
  <si>
    <t>Súmula 159 do TST.</t>
  </si>
  <si>
    <r>
      <t>C.04 Ausência por doença</t>
    </r>
    <r>
      <rPr>
        <vertAlign val="superscript"/>
        <sz val="10"/>
        <rFont val="Arial"/>
        <family val="2"/>
      </rPr>
      <t>2</t>
    </r>
  </si>
  <si>
    <t>Art. 59 a 64, Lei 8.213/91.</t>
  </si>
  <si>
    <r>
      <t>C.05 Auxílio doença acidentário</t>
    </r>
    <r>
      <rPr>
        <vertAlign val="superscript"/>
        <sz val="10"/>
        <rFont val="Arial"/>
        <family val="2"/>
      </rPr>
      <t>3</t>
    </r>
  </si>
  <si>
    <t>Art. 19 a 23 da Lei, 8.213/91.</t>
  </si>
  <si>
    <r>
      <t>C.06 Faltas legais</t>
    </r>
    <r>
      <rPr>
        <vertAlign val="superscript"/>
        <sz val="10"/>
        <rFont val="Arial"/>
        <family val="2"/>
      </rPr>
      <t>4</t>
    </r>
  </si>
  <si>
    <t>Art. 473, CLT.</t>
  </si>
  <si>
    <r>
      <t>C.07 Licença paternidade</t>
    </r>
    <r>
      <rPr>
        <vertAlign val="superscript"/>
        <sz val="10"/>
        <rFont val="Arial"/>
        <family val="2"/>
      </rPr>
      <t>5</t>
    </r>
  </si>
  <si>
    <r>
      <t xml:space="preserve">Art. 7º, XIX, CF/88, e 10, </t>
    </r>
    <r>
      <rPr>
        <sz val="10"/>
        <rFont val="Calibri"/>
        <family val="2"/>
      </rPr>
      <t>§</t>
    </r>
    <r>
      <rPr>
        <sz val="10"/>
        <rFont val="Arial"/>
        <family val="2"/>
      </rPr>
      <t>1º, CLT.</t>
    </r>
  </si>
  <si>
    <t>Art. 6º e 201, CF/88, 392 CLT.</t>
  </si>
  <si>
    <r>
      <rPr>
        <vertAlign val="superscript"/>
        <sz val="9"/>
        <rFont val="Arial"/>
        <family val="2"/>
      </rPr>
      <t>1</t>
    </r>
    <r>
      <rPr>
        <sz val="9"/>
        <rFont val="Arial"/>
        <family val="2"/>
      </rPr>
      <t>Referentes unicamente à substituição por motivo de férias</t>
    </r>
  </si>
  <si>
    <r>
      <rPr>
        <vertAlign val="superscript"/>
        <sz val="9"/>
        <rFont val="Arial"/>
        <family val="2"/>
      </rPr>
      <t>4</t>
    </r>
    <r>
      <rPr>
        <sz val="9"/>
        <rFont val="Arial"/>
        <family val="2"/>
      </rPr>
      <t>Estima-se de 2,96 ausências por ano.</t>
    </r>
  </si>
  <si>
    <r>
      <rPr>
        <vertAlign val="superscript"/>
        <sz val="9"/>
        <rFont val="Arial"/>
        <family val="2"/>
      </rPr>
      <t>2</t>
    </r>
    <r>
      <rPr>
        <sz val="9"/>
        <rFont val="Arial"/>
        <family val="2"/>
      </rPr>
      <t>Estima-se de 5,96 dias de licença por ano.</t>
    </r>
  </si>
  <si>
    <t>Art. 7º, XXI, CF/88, 477,487 e 491 CLT.</t>
  </si>
  <si>
    <t>Súmula 305 do TST.</t>
  </si>
  <si>
    <t>Art. 18, § 1º, Lei 8.036/90 e Art. 1º, Lei Complementar 110.</t>
  </si>
  <si>
    <t>TOTAL III</t>
  </si>
  <si>
    <t>Pesquisa de mercado.</t>
  </si>
  <si>
    <t>Insumos eventualmente não previstos na planilha necessários ao cumprimento do objeto.</t>
  </si>
  <si>
    <t>Auxílio alimentação</t>
  </si>
  <si>
    <t>Vale-transporte</t>
  </si>
  <si>
    <t>Desconto legal sobre transporte (máximo de 6% do salário-base)</t>
  </si>
  <si>
    <t>(-0,06*Salário)</t>
  </si>
  <si>
    <t>Art. 4º, parágrafo único, Lei 7.418/85.</t>
  </si>
  <si>
    <t>Detalhada em documento a ser apresentado com a planilha</t>
  </si>
  <si>
    <t>Benefícios impostos pela legislação vigente, ACT ou CCT, não previstos na planilha</t>
  </si>
  <si>
    <t>TOTAL IV</t>
  </si>
  <si>
    <t>TOTAL 1: TOTAL DA REMUNERAÇÃO + ENCARGOS SOCIAIS + INSUMOS</t>
  </si>
  <si>
    <t>TOTAL II  + TOTAL III + TOTAL IV</t>
  </si>
  <si>
    <t>V - BONIFICAÇÃO E OUTRAS DESPESAS</t>
  </si>
  <si>
    <t>Lucro</t>
  </si>
  <si>
    <t>Sobre o TOTAL 1</t>
  </si>
  <si>
    <t>TOTAL V</t>
  </si>
  <si>
    <t>VI - TRIBUTAÇÃO SOBRE O FATURAMENTO</t>
  </si>
  <si>
    <t>ISSQN ou ISS</t>
  </si>
  <si>
    <t>((TOTAL 1 + TOTAL V)/(1-(ISS + COFINS + PIS/PASEP)))*alíquota</t>
  </si>
  <si>
    <t>Art. 156, III, CF/88</t>
  </si>
  <si>
    <t>COFINS</t>
  </si>
  <si>
    <t>Art. 195, CF/88 e Lei Complementar 70/91</t>
  </si>
  <si>
    <t>PIS/PASEP</t>
  </si>
  <si>
    <t>Art. 239, CF/88</t>
  </si>
  <si>
    <t>TOTAL VI</t>
  </si>
  <si>
    <t>MENSAL</t>
  </si>
  <si>
    <t>ANUAL</t>
  </si>
  <si>
    <t>(TOTAL 1 + TOTAL V + TOTAL VI)</t>
  </si>
  <si>
    <t>Data inicial
do contrato</t>
  </si>
  <si>
    <t>Data após 12 meses de contratação</t>
  </si>
  <si>
    <t>Média de dias úteis por mês</t>
  </si>
  <si>
    <t>Média de dias de descanso por mês</t>
  </si>
  <si>
    <t>TODAS</t>
  </si>
  <si>
    <t>Confraternização Universal</t>
  </si>
  <si>
    <t>Tiradentes</t>
  </si>
  <si>
    <r>
      <t>Outros benefícios obrigatórios</t>
    </r>
    <r>
      <rPr>
        <vertAlign val="superscript"/>
        <sz val="10"/>
        <rFont val="Arial"/>
        <family val="2"/>
      </rPr>
      <t>1</t>
    </r>
  </si>
  <si>
    <r>
      <t>Despesas administrativas/operacionais</t>
    </r>
    <r>
      <rPr>
        <vertAlign val="superscript"/>
        <sz val="10"/>
        <rFont val="Arial"/>
        <family val="2"/>
      </rPr>
      <t>1</t>
    </r>
  </si>
  <si>
    <r>
      <rPr>
        <vertAlign val="superscript"/>
        <sz val="10"/>
        <rFont val="Arial"/>
        <family val="2"/>
      </rPr>
      <t>1</t>
    </r>
    <r>
      <rPr>
        <b/>
        <sz val="10"/>
        <rFont val="Arial"/>
        <family val="2"/>
      </rPr>
      <t xml:space="preserve">Os custos relacionados à substituição de empregado ausente não expressamente previstos na planilha comporão o montante apresentado nas Despesas administrativas/operacionais. </t>
    </r>
  </si>
  <si>
    <r>
      <t>I - SALÁRIO BASE DO PROFISSIONAL</t>
    </r>
    <r>
      <rPr>
        <vertAlign val="superscript"/>
        <sz val="10"/>
        <rFont val="Arabic Typesetting"/>
        <family val="4"/>
      </rPr>
      <t>1</t>
    </r>
  </si>
  <si>
    <t>Despesas administrativas/operacionais</t>
  </si>
  <si>
    <t>TOTAL III-A + TOTAL III-B</t>
  </si>
  <si>
    <t>Hora de trabalho</t>
  </si>
  <si>
    <t>CUSTO TOTAL</t>
  </si>
  <si>
    <t>índice de remuneração * hora de trabalho * Quantidade</t>
  </si>
  <si>
    <t>Dia do Trabalho</t>
  </si>
  <si>
    <t>Independência do Brasil</t>
  </si>
  <si>
    <t>Senhora Aparecida</t>
  </si>
  <si>
    <t>Finados</t>
  </si>
  <si>
    <t>Proclamação da República</t>
  </si>
  <si>
    <t>Natal</t>
  </si>
  <si>
    <t>Meio expediente (9 às 12h)</t>
  </si>
  <si>
    <t>Sexta-feira da Paixão</t>
  </si>
  <si>
    <t>Carnaval</t>
  </si>
  <si>
    <t>Corpus Christi</t>
  </si>
  <si>
    <t>Senhora da Glória</t>
  </si>
  <si>
    <t>Senhora da Conceição</t>
  </si>
  <si>
    <t>Os valores referentes aos vales transportes foram incluídos na planilha pertinente ao regime normal.</t>
  </si>
  <si>
    <t>IV - BENEFÍCIOS OBRIGATÓRIOS</t>
  </si>
  <si>
    <t>TOTAL 1: TOTAL DA REMUNERAÇÃO + ENCARGOS SOCIAIS + BENEFÍCIOS OBRIGATÓRIOS</t>
  </si>
  <si>
    <t>custo da hora * nº estimado de horas</t>
  </si>
  <si>
    <t>CUSTO DA HORA EM REGIME ESPECIAL</t>
  </si>
  <si>
    <t>Registro de ART</t>
  </si>
  <si>
    <t>Art. 488, CLT.</t>
  </si>
  <si>
    <r>
      <t>C.08 Aviso prévio trabalhado - (7 dias)</t>
    </r>
    <r>
      <rPr>
        <vertAlign val="superscript"/>
        <sz val="10"/>
        <rFont val="Arial"/>
        <family val="2"/>
      </rPr>
      <t>6</t>
    </r>
  </si>
  <si>
    <r>
      <t>C.09 Afastamento maternidade</t>
    </r>
    <r>
      <rPr>
        <vertAlign val="superscript"/>
        <sz val="10"/>
        <rFont val="Arial"/>
        <family val="2"/>
      </rPr>
      <t>7</t>
    </r>
  </si>
  <si>
    <t>C.10 Incidência dos encargos do grupo A sobre itens anteriores</t>
  </si>
  <si>
    <t>C.11 Incidência dos encargos do grupo A sobre a remuneração do afastamento maternidade</t>
  </si>
  <si>
    <t>D.01 Aviso prévio indenizado¹</t>
  </si>
  <si>
    <t>D.02 FGTS sobre aviso prévio indenizado</t>
  </si>
  <si>
    <r>
      <t>D.03 Indenização</t>
    </r>
    <r>
      <rPr>
        <vertAlign val="superscript"/>
        <sz val="10"/>
        <rFont val="Arial"/>
        <family val="2"/>
      </rPr>
      <t>2</t>
    </r>
  </si>
  <si>
    <r>
      <rPr>
        <vertAlign val="superscript"/>
        <sz val="9"/>
        <rFont val="Arial"/>
        <family val="2"/>
      </rPr>
      <t>2</t>
    </r>
    <r>
      <rPr>
        <sz val="9"/>
        <rFont val="Arial"/>
        <family val="2"/>
      </rPr>
      <t>Multa de 40% do FGTS + contribuição social sobre o FGTS de 10%</t>
    </r>
  </si>
  <si>
    <r>
      <t>1</t>
    </r>
    <r>
      <rPr>
        <sz val="9"/>
        <rFont val="Arial"/>
        <family val="2"/>
      </rPr>
      <t>Estima-se que 5% dos empregados receberão o aviso prévio indenizado</t>
    </r>
  </si>
  <si>
    <t>%A.02*D42</t>
  </si>
  <si>
    <t>PCMSO/PPRA</t>
  </si>
  <si>
    <t>Lei 7.418/85.</t>
  </si>
  <si>
    <t>TOTAL</t>
  </si>
  <si>
    <t>CUSTO DOS SERVIÇOS EM REGIME NORMAL (RN)</t>
  </si>
  <si>
    <t>CUSTO DOS SERVIÇOS EM REGIME DE HORÁRIO ESPECIAL (RE)</t>
  </si>
  <si>
    <t>Custo dos serviços em regime normal</t>
  </si>
  <si>
    <t>Custo dos serviços em regime de horário especial</t>
  </si>
  <si>
    <t>CUSTO GLOBAL</t>
  </si>
  <si>
    <t>somatório - serviços em regime de horário especial</t>
  </si>
  <si>
    <t>TOTAL I</t>
  </si>
  <si>
    <t>II - ENCARGOS SOCIAIS E TRABALHISTAS</t>
  </si>
  <si>
    <t>GRUPO II-A - Encargos previdenciários, FGTS e outras contribuições</t>
  </si>
  <si>
    <t>TOTAL II-A</t>
  </si>
  <si>
    <t>GRUPO II-B - 13º salário</t>
  </si>
  <si>
    <t>TOTAL II-B</t>
  </si>
  <si>
    <t>GRUPO II-C - Custo de reposição do profissional ausente</t>
  </si>
  <si>
    <t>TOTAL II-C</t>
  </si>
  <si>
    <t>GRUPO II-D - Provisão para a rescisão</t>
  </si>
  <si>
    <t>TOTAL II-D</t>
  </si>
  <si>
    <t>III - INSUMOS E BENEFÍCIOS MENSAIS E DIÁRIOS</t>
  </si>
  <si>
    <r>
      <t>GRUPO III-A</t>
    </r>
    <r>
      <rPr>
        <b/>
        <vertAlign val="superscript"/>
        <sz val="10"/>
        <rFont val="Arial"/>
        <family val="2"/>
      </rPr>
      <t>1</t>
    </r>
    <r>
      <rPr>
        <b/>
        <sz val="10"/>
        <rFont val="Arial"/>
        <family val="2"/>
      </rPr>
      <t xml:space="preserve"> - Insumos gerais e de valor subjetivo</t>
    </r>
  </si>
  <si>
    <t xml:space="preserve"> (1/12) * 0,05 * TOTAL I</t>
  </si>
  <si>
    <t xml:space="preserve"> 0,5 * 0,08 * TOTAL I</t>
  </si>
  <si>
    <t>20,000% * TOTAL I</t>
  </si>
  <si>
    <t>8,000% * TOTAL I</t>
  </si>
  <si>
    <t>1,500% * TOTAL I</t>
  </si>
  <si>
    <t>1,000% * TOTAL I</t>
  </si>
  <si>
    <t>0,200% * TOTAL I</t>
  </si>
  <si>
    <t>0,600% * TOTAL I</t>
  </si>
  <si>
    <t>2,500% * TOTAL I</t>
  </si>
  <si>
    <t>%(RAT*FAP) * TOTAL I</t>
  </si>
  <si>
    <t>(1/12) * TOTAL I</t>
  </si>
  <si>
    <t>%TOTAL III-A * %B.01 * TOTAL I</t>
  </si>
  <si>
    <t>(1/3)/12 * TOTAL I</t>
  </si>
  <si>
    <t>(TOTAL III - equipamentos e ferramentais - PPRA - vale transporte)/12</t>
  </si>
  <si>
    <t>(5,96/30)/12 * TOTAL I</t>
  </si>
  <si>
    <t>(2,96/30)/12 * TOTAL I</t>
  </si>
  <si>
    <t>%TOTAL II-A * %(C.01+C.02+C.03+C.04+C.05+C.06+C.07+C.08) * TOTAL I</t>
  </si>
  <si>
    <t>%TOTAL II-A * %C.09 * TOTAL I</t>
  </si>
  <si>
    <t>TOTAL I  + TOTAL II + TOTAL III</t>
  </si>
  <si>
    <t>IV - BONIFICAÇÃO E OUTRAS DESPESAS</t>
  </si>
  <si>
    <t>V - TRIBUTAÇÃO SOBRE O FATURAMENTO</t>
  </si>
  <si>
    <t>((TOTAL 1 + TOTAL IV)/(1-(ISS + COFINS + PIS/PASEP)))*alíquota</t>
  </si>
  <si>
    <t>(TOTAL 1 + TOTAL IV + TOTAL V)</t>
  </si>
  <si>
    <t>PLANILHA DE COMPOSIÇÃO DE CUSTOS E FORMAÇÃO DE PREÇOS</t>
  </si>
  <si>
    <r>
      <rPr>
        <vertAlign val="superscript"/>
        <sz val="9"/>
        <rFont val="Arial"/>
        <family val="2"/>
      </rPr>
      <t>6</t>
    </r>
    <r>
      <rPr>
        <sz val="9"/>
        <rFont val="Arial"/>
        <family val="2"/>
      </rPr>
      <t>Redução de 7 dias ou de 2h por dia. Percentual relativo a contrato de 12 meses.</t>
    </r>
  </si>
  <si>
    <t>(7/30)/12 * TOTAL I</t>
  </si>
  <si>
    <t>nº de técnicos * salário base do profissional</t>
  </si>
  <si>
    <r>
      <t>Uniformes</t>
    </r>
    <r>
      <rPr>
        <vertAlign val="superscript"/>
        <sz val="10"/>
        <rFont val="Arial"/>
        <family val="2"/>
      </rPr>
      <t>2</t>
    </r>
  </si>
  <si>
    <r>
      <t>Equipamentos/Ferramentais</t>
    </r>
    <r>
      <rPr>
        <vertAlign val="superscript"/>
        <sz val="10"/>
        <rFont val="Arial"/>
        <family val="2"/>
      </rPr>
      <t>3</t>
    </r>
  </si>
  <si>
    <r>
      <t>I - REMUNERAÇÃO - EQUIPE TÉCNICA</t>
    </r>
    <r>
      <rPr>
        <vertAlign val="superscript"/>
        <sz val="10"/>
        <rFont val="Arabic Typesetting"/>
        <family val="4"/>
      </rPr>
      <t>1</t>
    </r>
  </si>
  <si>
    <r>
      <rPr>
        <vertAlign val="superscript"/>
        <sz val="9"/>
        <rFont val="Arial"/>
        <family val="2"/>
      </rPr>
      <t>2</t>
    </r>
    <r>
      <rPr>
        <sz val="9"/>
        <rFont val="Arial"/>
        <family val="2"/>
      </rPr>
      <t>O correspondente valor mensal do custo referente aos uniformes de toda a equipe.</t>
    </r>
  </si>
  <si>
    <r>
      <rPr>
        <vertAlign val="superscript"/>
        <sz val="10"/>
        <rFont val="Arial"/>
        <family val="2"/>
      </rPr>
      <t>3</t>
    </r>
    <r>
      <rPr>
        <sz val="9"/>
        <rFont val="Arial"/>
        <family val="2"/>
      </rPr>
      <t>O correspondente valor mensal do custo total com equipamentos/ferramentais.</t>
    </r>
  </si>
  <si>
    <t>Incidência das horas extras no cálculo do DSR</t>
  </si>
  <si>
    <t>Horas extras * (média de dias de descanso por mês)/(média de dias de trabalho por mês)</t>
  </si>
  <si>
    <t>Súmula 172 do TST</t>
  </si>
  <si>
    <t>A.09 Férias</t>
  </si>
  <si>
    <t>A.10 Adicional de férias</t>
  </si>
  <si>
    <t>(1/3)/12 * TOTAL II</t>
  </si>
  <si>
    <r>
      <t>GRUPO III-B - Benefícios mensais e diários</t>
    </r>
    <r>
      <rPr>
        <b/>
        <vertAlign val="superscript"/>
        <sz val="10"/>
        <rFont val="Arial"/>
        <family val="2"/>
      </rPr>
      <t>1</t>
    </r>
  </si>
  <si>
    <r>
      <rPr>
        <vertAlign val="superscript"/>
        <sz val="9"/>
        <rFont val="Arial"/>
        <family val="2"/>
      </rPr>
      <t>1</t>
    </r>
    <r>
      <rPr>
        <b/>
        <sz val="10"/>
        <rFont val="Arial"/>
        <family val="2"/>
      </rPr>
      <t>Expressos os correspondentes valores MENSAIS de cada insumo.</t>
    </r>
  </si>
  <si>
    <r>
      <rPr>
        <b/>
        <vertAlign val="superscript"/>
        <sz val="10"/>
        <rFont val="Arial"/>
        <family val="2"/>
      </rPr>
      <t>1</t>
    </r>
    <r>
      <rPr>
        <b/>
        <sz val="10"/>
        <rFont val="Arial"/>
        <family val="2"/>
      </rPr>
      <t>Os correspondentes os valores MENSAIS dos custos relacionados À TODA A EQUIPE</t>
    </r>
  </si>
  <si>
    <r>
      <t>Outros benefícios obrigatórios</t>
    </r>
    <r>
      <rPr>
        <vertAlign val="superscript"/>
        <sz val="10"/>
        <rFont val="Arial"/>
        <family val="2"/>
      </rPr>
      <t>2</t>
    </r>
  </si>
  <si>
    <t>Remuneração - equipe mínima (nº de técnicos)</t>
  </si>
  <si>
    <t xml:space="preserve">Técnico Mecânico de Refrigeração (CBO: 7257-05) </t>
  </si>
  <si>
    <t>PLANILHA DE COMPOSIÇÃO DE CUSTOS E FORMAÇÃO DE PREÇOS - regime de horário especial - Adicional de 55%</t>
  </si>
  <si>
    <t>Adicional - horas em regime especial - 55%</t>
  </si>
  <si>
    <t>Custo total dos serviços prestados em regime especial - adicional de 70%</t>
  </si>
  <si>
    <t>Adicional - horas em regime especial - 70%</t>
  </si>
  <si>
    <t>Custo total da hora em regime especial - adicional de 70%</t>
  </si>
  <si>
    <t>Custo total da hora em regime especial - adicional de 55%</t>
  </si>
  <si>
    <t>Custo total dos serviços prestados em regime especial - adicional de 55%</t>
  </si>
  <si>
    <t>Adicional - horas em regime especial - 95%</t>
  </si>
  <si>
    <t>Custo total da hora em regime especial - adicional de 95%</t>
  </si>
  <si>
    <t>Custo total dos serviços prestados em regime especial - adicional de 95%</t>
  </si>
  <si>
    <t>10h com adicional de 55%</t>
  </si>
  <si>
    <t>10h com adicional de 70%</t>
  </si>
  <si>
    <t>10h com adicional de 95%</t>
  </si>
  <si>
    <t>Planilha - RE - 55</t>
  </si>
  <si>
    <t>Planilha - RE - 70</t>
  </si>
  <si>
    <t>Planilha - RE - 95</t>
  </si>
  <si>
    <t>PLANILHA DE COMPOSIÇÃO DE CUSTOS E FORMAÇÃO DE PREÇOS - regime de horário especial - Adicional de 95%</t>
  </si>
  <si>
    <t>PLANILHA DE COMPOSIÇÃO DE CUSTOS E FORMAÇÃO DE PREÇOS - regime de horário especial - Adicional de 70%</t>
  </si>
  <si>
    <t>considerada a equipe mínima (2 técnicos)</t>
  </si>
  <si>
    <r>
      <t>Outros insumos</t>
    </r>
    <r>
      <rPr>
        <vertAlign val="superscript"/>
        <sz val="10"/>
        <rFont val="Arial"/>
        <family val="2"/>
      </rPr>
      <t>5</t>
    </r>
    <r>
      <rPr>
        <sz val="10"/>
        <rFont val="Arial"/>
        <family val="2"/>
      </rPr>
      <t xml:space="preserve"> </t>
    </r>
  </si>
  <si>
    <r>
      <t>1</t>
    </r>
    <r>
      <rPr>
        <sz val="9"/>
        <rFont val="Arial"/>
        <family val="2"/>
      </rPr>
      <t>Serão discriminados cada um dos benefícios obrigatórios por natureza e valor, nos termos do</t>
    </r>
    <r>
      <rPr>
        <sz val="9"/>
        <color theme="1"/>
        <rFont val="Arial"/>
        <family val="2"/>
      </rPr>
      <t xml:space="preserve"> item 1.4 do Anexo II-B</t>
    </r>
    <r>
      <rPr>
        <sz val="9"/>
        <rFont val="Arial"/>
        <family val="2"/>
      </rPr>
      <t xml:space="preserve"> do edital.</t>
    </r>
  </si>
  <si>
    <r>
      <t>1</t>
    </r>
    <r>
      <rPr>
        <sz val="9"/>
        <rFont val="Arial"/>
        <family val="2"/>
      </rPr>
      <t xml:space="preserve">Serão discriminados cada um dos benefícios obrigatórios por natureza e valor, nos termos do </t>
    </r>
    <r>
      <rPr>
        <sz val="9"/>
        <color theme="1"/>
        <rFont val="Arial"/>
        <family val="2"/>
      </rPr>
      <t>item 1.4 do Anexo II-B</t>
    </r>
    <r>
      <rPr>
        <sz val="9"/>
        <color rgb="FFFF0000"/>
        <rFont val="Arial"/>
        <family val="2"/>
      </rPr>
      <t xml:space="preserve"> </t>
    </r>
    <r>
      <rPr>
        <sz val="9"/>
        <rFont val="Arial"/>
        <family val="2"/>
      </rPr>
      <t xml:space="preserve">  do edital.</t>
    </r>
  </si>
  <si>
    <r>
      <t>1</t>
    </r>
    <r>
      <rPr>
        <sz val="9"/>
        <rFont val="Arial"/>
        <family val="2"/>
      </rPr>
      <t xml:space="preserve">Serão discriminados cada um dos benefícios obrigatórios por natureza e valor, nos termos do </t>
    </r>
    <r>
      <rPr>
        <sz val="9"/>
        <color theme="1"/>
        <rFont val="Arial"/>
        <family val="2"/>
      </rPr>
      <t>item 1.4 do Anexo II-B</t>
    </r>
    <r>
      <rPr>
        <sz val="9"/>
        <rFont val="Arial"/>
        <family val="2"/>
      </rPr>
      <t xml:space="preserve">  do edital.</t>
    </r>
  </si>
  <si>
    <r>
      <rPr>
        <vertAlign val="superscript"/>
        <sz val="9"/>
        <rFont val="Arial"/>
        <family val="2"/>
      </rPr>
      <t>4</t>
    </r>
    <r>
      <rPr>
        <sz val="9"/>
        <rFont val="Arial"/>
        <family val="2"/>
      </rPr>
      <t>Será efetuado nos termos do</t>
    </r>
    <r>
      <rPr>
        <sz val="9"/>
        <color theme="1"/>
        <rFont val="Arial"/>
        <family val="2"/>
      </rPr>
      <t xml:space="preserve"> item 2.1.3.6</t>
    </r>
    <r>
      <rPr>
        <sz val="9"/>
        <color rgb="FFFF0000"/>
        <rFont val="Arial"/>
        <family val="2"/>
      </rPr>
      <t xml:space="preserve"> </t>
    </r>
    <r>
      <rPr>
        <sz val="9"/>
        <rFont val="Arial"/>
        <family val="2"/>
      </rPr>
      <t>do do Termo de Referência.</t>
    </r>
  </si>
  <si>
    <r>
      <t>2</t>
    </r>
    <r>
      <rPr>
        <sz val="9"/>
        <rFont val="Arial"/>
        <family val="2"/>
      </rPr>
      <t xml:space="preserve">Serão discriminados cada um dos benefícios obrigatórios por natureza e valor, nos termos do </t>
    </r>
    <r>
      <rPr>
        <sz val="9"/>
        <color theme="1"/>
        <rFont val="Arial"/>
        <family val="2"/>
      </rPr>
      <t xml:space="preserve">item 1.4 do Anexo II-B </t>
    </r>
    <r>
      <rPr>
        <sz val="9"/>
        <rFont val="Arial"/>
        <family val="2"/>
      </rPr>
      <t>do edital.</t>
    </r>
  </si>
  <si>
    <r>
      <rPr>
        <vertAlign val="superscript"/>
        <sz val="9"/>
        <color theme="1"/>
        <rFont val="Arial"/>
        <family val="2"/>
      </rPr>
      <t>5</t>
    </r>
    <r>
      <rPr>
        <sz val="9"/>
        <color theme="1"/>
        <rFont val="Arial"/>
        <family val="2"/>
      </rPr>
      <t>Serão discriminados cada um dos insumos por natureza e valor, nos termos do</t>
    </r>
    <r>
      <rPr>
        <sz val="9"/>
        <color rgb="FFFF0000"/>
        <rFont val="Arial"/>
        <family val="2"/>
      </rPr>
      <t xml:space="preserve"> </t>
    </r>
    <r>
      <rPr>
        <b/>
        <u/>
        <sz val="9"/>
        <color theme="1"/>
        <rFont val="Arial"/>
        <family val="2"/>
      </rPr>
      <t>item 1.3 do Anexo II-B</t>
    </r>
    <r>
      <rPr>
        <b/>
        <i/>
        <u/>
        <sz val="9"/>
        <color theme="1"/>
        <rFont val="Arial"/>
        <family val="2"/>
      </rPr>
      <t xml:space="preserve"> </t>
    </r>
    <r>
      <rPr>
        <b/>
        <u/>
        <sz val="9"/>
        <rFont val="Arial"/>
        <family val="2"/>
      </rPr>
      <t>do edital.</t>
    </r>
  </si>
  <si>
    <r>
      <t>Análise laboratorial de agua e seu tratamento químico</t>
    </r>
    <r>
      <rPr>
        <b/>
        <vertAlign val="superscript"/>
        <sz val="10"/>
        <rFont val="Arial"/>
        <family val="2"/>
      </rPr>
      <t>4</t>
    </r>
  </si>
  <si>
    <r>
      <rPr>
        <vertAlign val="superscript"/>
        <sz val="9"/>
        <rFont val="Arial"/>
        <family val="2"/>
      </rPr>
      <t>3</t>
    </r>
    <r>
      <rPr>
        <sz val="9"/>
        <rFont val="Arial"/>
        <family val="2"/>
      </rPr>
      <t>Estima-se que 0,084% dos empregados alocados fruirão o benefício</t>
    </r>
  </si>
  <si>
    <r>
      <rPr>
        <vertAlign val="superscript"/>
        <sz val="9"/>
        <rFont val="Arial"/>
        <family val="2"/>
      </rPr>
      <t>5</t>
    </r>
    <r>
      <rPr>
        <sz val="9"/>
        <rFont val="Arial"/>
        <family val="2"/>
      </rPr>
      <t>Tendo em vista o percentual de homens empregados na região sudeste, 60,9%, e a taxa de natalidade de 1,253%.</t>
    </r>
  </si>
  <si>
    <t>(5/30)/12 *0,609 * 0,01253*TOTAL I</t>
  </si>
  <si>
    <t>(15/30)/12* 0,00084 * TOTAL I</t>
  </si>
  <si>
    <r>
      <rPr>
        <vertAlign val="superscript"/>
        <sz val="9"/>
        <rFont val="Arial"/>
        <family val="2"/>
      </rPr>
      <t>7</t>
    </r>
    <r>
      <rPr>
        <sz val="9"/>
        <rFont val="Arial"/>
        <family val="2"/>
      </rPr>
      <t>Tendo em vista o percentual de mulheres empregadas na região sudeste, 58,3%,a taxa de natalidade de 1,253%</t>
    </r>
  </si>
  <si>
    <t>[(Férias + adicional de férias)/12 + (TOTAL III - equipamentos e ferramentas - PPRA - vale transporte)] * (120/30)/12 * 0,583*0,01253 * TOTAL I</t>
  </si>
  <si>
    <t>E.01 Verbas rescisórias do substituto do empregado ausente</t>
  </si>
  <si>
    <t>GRUPO II-E - Provisão para rescisão - substituto do empregado ausente</t>
  </si>
  <si>
    <t>TOTAL II-A + TOTAL II-B + TOTAL II-C + TOTAL II-D + TOTAL II-E</t>
  </si>
  <si>
    <t>(%C.01+%C.04+%C.05+%C.06+%C.07+%C.08+%C.09) * (%B.01+%C.01+%A.02) * TOTAL II</t>
  </si>
  <si>
    <t>TOTAL II-E</t>
  </si>
  <si>
    <t>Quantidade mensal estimada pelo BDMG e % previsto na CCT MG004614/2019</t>
  </si>
  <si>
    <r>
      <t xml:space="preserve">Da equipe técnica, nos termos dos </t>
    </r>
    <r>
      <rPr>
        <sz val="9"/>
        <color theme="1"/>
        <rFont val="Arial"/>
        <family val="2"/>
      </rPr>
      <t xml:space="preserve"> itens 2.1.4 e 2.1.5 do </t>
    </r>
    <r>
      <rPr>
        <sz val="9"/>
        <rFont val="Arial"/>
        <family val="2"/>
      </rPr>
      <t>Termo de Referência</t>
    </r>
  </si>
  <si>
    <r>
      <t>Da equipe técnica, nos termos dos</t>
    </r>
    <r>
      <rPr>
        <sz val="9"/>
        <color rgb="FFFF0000"/>
        <rFont val="Arial"/>
        <family val="2"/>
      </rPr>
      <t xml:space="preserve"> </t>
    </r>
    <r>
      <rPr>
        <sz val="9"/>
        <color theme="1"/>
        <rFont val="Arial"/>
        <family val="2"/>
      </rPr>
      <t>itens 2.1.4 e 2.1.5 d</t>
    </r>
    <r>
      <rPr>
        <sz val="9"/>
        <rFont val="Arial"/>
        <family val="2"/>
      </rPr>
      <t>o Termo de Referência</t>
    </r>
  </si>
  <si>
    <r>
      <t xml:space="preserve">Da equipe técnica, nos termos dos </t>
    </r>
    <r>
      <rPr>
        <sz val="9"/>
        <color theme="1"/>
        <rFont val="Arial"/>
        <family val="2"/>
      </rPr>
      <t>itens 2.1.4 e 2.1.5</t>
    </r>
    <r>
      <rPr>
        <sz val="9"/>
        <color rgb="FFFF0000"/>
        <rFont val="Arial"/>
        <family val="2"/>
      </rPr>
      <t xml:space="preserve"> </t>
    </r>
    <r>
      <rPr>
        <sz val="9"/>
        <rFont val="Arial"/>
        <family val="2"/>
      </rPr>
      <t>do Termo de Referência</t>
    </r>
  </si>
  <si>
    <t>Observados a formação técnica e experiência exigidos no edital e de acordo com a CCT MG04614/2019.</t>
  </si>
  <si>
    <t>Da equipe técnica, nos termos dos itens 3.3 e 3.4 do Anexo IV do edital.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</si>
</sst>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-* #,##0.00_-;\-* #,##0.00_-;_-* &quot;-&quot;??_-;_-@_-"/>
    <numFmt numFmtId="164" formatCode="&quot;R$&quot;\ #,##0.00_);[Red]\(&quot;R$&quot;\ #,##0.00\)"/>
    <numFmt numFmtId="165" formatCode="_(&quot;R$&quot;\ * #,##0.00_);_(&quot;R$&quot;\ * \(#,##0.00\);_(&quot;R$&quot;\ * &quot;-&quot;??_);_(@_)"/>
    <numFmt numFmtId="166" formatCode="_(* #,##0.00_);_(* \(#,##0.00\);_(* &quot;-&quot;??_);_(@_)"/>
    <numFmt numFmtId="167" formatCode="0.0000%"/>
    <numFmt numFmtId="168" formatCode="#,##0.000_);[Red]\(#,##0.000\)"/>
    <numFmt numFmtId="169" formatCode="&quot;R$&quot;\ #,##0.00"/>
    <numFmt numFmtId="170" formatCode="0.000"/>
    <numFmt numFmtId="171" formatCode="0.0000"/>
    <numFmt numFmtId="172" formatCode="_-&quot;R$&quot;\ * #,##0.00_-;\-&quot;R$&quot;\ * #,##0.00_-;_-&quot;R$&quot;\ * &quot;-&quot;??_-;_-@_-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2"/>
      <name val="Arial Black"/>
      <family val="2"/>
    </font>
    <font>
      <sz val="10"/>
      <name val="Arial"/>
      <family val="2"/>
    </font>
    <font>
      <b/>
      <i/>
      <sz val="12"/>
      <name val="Arial Black"/>
      <family val="2"/>
    </font>
    <font>
      <b/>
      <sz val="10"/>
      <name val="Arial"/>
      <family val="2"/>
    </font>
    <font>
      <sz val="9"/>
      <name val="Arial"/>
      <family val="2"/>
    </font>
    <font>
      <vertAlign val="superscript"/>
      <sz val="10"/>
      <name val="Arial"/>
      <family val="2"/>
    </font>
    <font>
      <sz val="10"/>
      <name val="Calibri"/>
      <family val="2"/>
    </font>
    <font>
      <vertAlign val="superscript"/>
      <sz val="9"/>
      <name val="Arial"/>
      <family val="2"/>
    </font>
    <font>
      <sz val="8.5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vertAlign val="superscript"/>
      <sz val="10"/>
      <name val="Arabic Typesetting"/>
      <family val="4"/>
    </font>
    <font>
      <b/>
      <vertAlign val="superscript"/>
      <sz val="10"/>
      <name val="Arial"/>
      <family val="2"/>
    </font>
    <font>
      <sz val="11"/>
      <color theme="1"/>
      <name val="Arial"/>
      <family val="2"/>
    </font>
    <font>
      <i/>
      <sz val="10"/>
      <color rgb="FFFF000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vertAlign val="superscript"/>
      <sz val="9"/>
      <color theme="1"/>
      <name val="Arial"/>
      <family val="2"/>
    </font>
    <font>
      <sz val="9"/>
      <color rgb="FFFF0000"/>
      <name val="Arial"/>
      <family val="2"/>
    </font>
    <font>
      <b/>
      <u/>
      <sz val="9"/>
      <name val="Arial"/>
      <family val="2"/>
    </font>
    <font>
      <sz val="11.5"/>
      <color theme="1"/>
      <name val="Calibri"/>
      <family val="2"/>
      <scheme val="minor"/>
    </font>
    <font>
      <b/>
      <u/>
      <sz val="9"/>
      <color theme="1"/>
      <name val="Arial"/>
      <family val="2"/>
    </font>
    <font>
      <b/>
      <i/>
      <u/>
      <sz val="9"/>
      <color theme="1"/>
      <name val="Arial"/>
      <family val="2"/>
    </font>
    <font>
      <sz val="11"/>
      <color rgb="FF9C0006"/>
      <name val="Calibri"/>
      <family val="2"/>
      <scheme val="minor"/>
    </font>
    <font>
      <sz val="10"/>
      <name val="Arial"/>
    </font>
    <font>
      <sz val="11"/>
      <color rgb="FF9C6500"/>
      <name val="Calibri"/>
      <family val="2"/>
      <scheme val="minor"/>
    </font>
    <font>
      <b/>
      <sz val="9"/>
      <name val="Arial"/>
      <family val="2"/>
    </font>
    <font>
      <b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7CE"/>
      </patternFill>
    </fill>
    <fill>
      <patternFill patternType="solid">
        <fgColor rgb="FFFFEB9C"/>
      </patternFill>
    </fill>
  </fills>
  <borders count="4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7">
    <xf numFmtId="0" fontId="0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7" fillId="5" borderId="0" applyNumberFormat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72" fontId="3" fillId="0" borderId="0" applyFont="0" applyFill="0" applyBorder="0" applyAlignment="0" applyProtection="0"/>
    <xf numFmtId="0" fontId="29" fillId="6" borderId="0" applyNumberFormat="0" applyBorder="0" applyAlignment="0" applyProtection="0"/>
    <xf numFmtId="0" fontId="28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245">
    <xf numFmtId="0" fontId="0" fillId="0" borderId="0" xfId="0"/>
    <xf numFmtId="0" fontId="3" fillId="0" borderId="0" xfId="0" applyFont="1" applyProtection="1"/>
    <xf numFmtId="0" fontId="4" fillId="0" borderId="4" xfId="0" applyFont="1" applyFill="1" applyBorder="1" applyAlignment="1" applyProtection="1">
      <alignment horizontal="left" vertical="center"/>
    </xf>
    <xf numFmtId="0" fontId="4" fillId="0" borderId="5" xfId="0" applyFont="1" applyFill="1" applyBorder="1" applyAlignment="1" applyProtection="1">
      <alignment horizontal="left" vertical="center"/>
    </xf>
    <xf numFmtId="4" fontId="4" fillId="0" borderId="5" xfId="0" applyNumberFormat="1" applyFont="1" applyFill="1" applyBorder="1" applyAlignment="1" applyProtection="1">
      <alignment horizontal="center" vertical="center"/>
    </xf>
    <xf numFmtId="0" fontId="4" fillId="0" borderId="6" xfId="0" applyFont="1" applyFill="1" applyBorder="1" applyAlignment="1" applyProtection="1">
      <alignment horizontal="left" vertical="center"/>
    </xf>
    <xf numFmtId="0" fontId="5" fillId="2" borderId="7" xfId="0" applyFont="1" applyFill="1" applyBorder="1" applyAlignment="1" applyProtection="1">
      <alignment horizontal="left" vertical="center"/>
    </xf>
    <xf numFmtId="0" fontId="5" fillId="2" borderId="8" xfId="0" applyFont="1" applyFill="1" applyBorder="1" applyAlignment="1" applyProtection="1">
      <alignment horizontal="center" vertical="center"/>
    </xf>
    <xf numFmtId="0" fontId="3" fillId="0" borderId="9" xfId="0" applyFont="1" applyBorder="1" applyAlignment="1" applyProtection="1">
      <alignment vertical="center"/>
    </xf>
    <xf numFmtId="0" fontId="3" fillId="0" borderId="10" xfId="0" applyFont="1" applyBorder="1" applyAlignment="1" applyProtection="1">
      <alignment horizontal="center" vertical="center"/>
    </xf>
    <xf numFmtId="0" fontId="3" fillId="0" borderId="12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4" fontId="3" fillId="0" borderId="0" xfId="0" applyNumberFormat="1" applyFont="1" applyBorder="1" applyAlignment="1" applyProtection="1">
      <alignment horizontal="center" vertical="center"/>
    </xf>
    <xf numFmtId="0" fontId="5" fillId="2" borderId="7" xfId="0" applyFont="1" applyFill="1" applyBorder="1" applyAlignment="1" applyProtection="1">
      <alignment vertical="center"/>
    </xf>
    <xf numFmtId="4" fontId="5" fillId="2" borderId="8" xfId="0" applyNumberFormat="1" applyFont="1" applyFill="1" applyBorder="1" applyAlignment="1" applyProtection="1">
      <alignment horizontal="center" vertical="center"/>
    </xf>
    <xf numFmtId="0" fontId="5" fillId="2" borderId="13" xfId="0" applyFont="1" applyFill="1" applyBorder="1" applyAlignment="1" applyProtection="1">
      <alignment horizontal="center" vertical="center"/>
    </xf>
    <xf numFmtId="0" fontId="3" fillId="0" borderId="14" xfId="0" applyFont="1" applyBorder="1" applyAlignment="1" applyProtection="1">
      <alignment vertical="center"/>
    </xf>
    <xf numFmtId="0" fontId="3" fillId="0" borderId="16" xfId="0" applyFont="1" applyBorder="1" applyAlignment="1" applyProtection="1">
      <alignment horizontal="center" vertical="center"/>
    </xf>
    <xf numFmtId="165" fontId="3" fillId="0" borderId="16" xfId="1" applyNumberFormat="1" applyFont="1" applyFill="1" applyBorder="1" applyAlignment="1" applyProtection="1">
      <alignment horizontal="center" vertical="center"/>
    </xf>
    <xf numFmtId="0" fontId="3" fillId="0" borderId="17" xfId="0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vertical="center"/>
    </xf>
    <xf numFmtId="0" fontId="3" fillId="0" borderId="16" xfId="0" applyFont="1" applyBorder="1" applyAlignment="1" applyProtection="1">
      <alignment horizontal="center" vertical="center" wrapText="1"/>
    </xf>
    <xf numFmtId="165" fontId="3" fillId="0" borderId="15" xfId="1" applyNumberFormat="1" applyFont="1" applyBorder="1" applyAlignment="1" applyProtection="1">
      <alignment horizontal="center" vertical="center"/>
    </xf>
    <xf numFmtId="0" fontId="3" fillId="0" borderId="17" xfId="0" applyFont="1" applyBorder="1" applyAlignment="1" applyProtection="1">
      <alignment horizontal="left" vertical="center" wrapText="1"/>
    </xf>
    <xf numFmtId="0" fontId="5" fillId="2" borderId="9" xfId="0" applyFont="1" applyFill="1" applyBorder="1" applyAlignment="1" applyProtection="1">
      <alignment vertical="center"/>
    </xf>
    <xf numFmtId="0" fontId="5" fillId="2" borderId="10" xfId="0" applyFont="1" applyFill="1" applyBorder="1" applyAlignment="1" applyProtection="1">
      <alignment horizontal="center" vertical="center"/>
    </xf>
    <xf numFmtId="166" fontId="5" fillId="2" borderId="10" xfId="1" applyFont="1" applyFill="1" applyBorder="1" applyAlignment="1" applyProtection="1">
      <alignment horizontal="center" vertical="center"/>
    </xf>
    <xf numFmtId="165" fontId="5" fillId="2" borderId="10" xfId="0" applyNumberFormat="1" applyFont="1" applyFill="1" applyBorder="1" applyAlignment="1" applyProtection="1">
      <alignment horizontal="center" vertical="center"/>
    </xf>
    <xf numFmtId="0" fontId="5" fillId="2" borderId="11" xfId="0" applyFont="1" applyFill="1" applyBorder="1" applyAlignment="1" applyProtection="1">
      <alignment horizontal="center" vertical="center"/>
    </xf>
    <xf numFmtId="0" fontId="3" fillId="0" borderId="12" xfId="0" applyFont="1" applyBorder="1" applyAlignment="1" applyProtection="1">
      <alignment horizontal="left" vertical="top"/>
    </xf>
    <xf numFmtId="10" fontId="3" fillId="0" borderId="0" xfId="2" applyNumberFormat="1" applyFont="1" applyBorder="1" applyAlignment="1" applyProtection="1">
      <alignment vertical="center"/>
    </xf>
    <xf numFmtId="166" fontId="3" fillId="0" borderId="0" xfId="0" applyNumberFormat="1" applyFont="1" applyBorder="1" applyAlignment="1" applyProtection="1">
      <alignment vertical="center"/>
    </xf>
    <xf numFmtId="167" fontId="3" fillId="0" borderId="16" xfId="2" applyNumberFormat="1" applyFont="1" applyBorder="1" applyAlignment="1" applyProtection="1">
      <alignment horizontal="center" vertical="center"/>
    </xf>
    <xf numFmtId="165" fontId="3" fillId="0" borderId="16" xfId="1" applyNumberFormat="1" applyFont="1" applyBorder="1" applyAlignment="1" applyProtection="1">
      <alignment horizontal="center" vertical="center"/>
    </xf>
    <xf numFmtId="0" fontId="3" fillId="0" borderId="17" xfId="0" applyFont="1" applyBorder="1" applyAlignment="1" applyProtection="1">
      <alignment vertical="center"/>
    </xf>
    <xf numFmtId="0" fontId="3" fillId="0" borderId="14" xfId="0" applyFont="1" applyBorder="1" applyAlignment="1" applyProtection="1">
      <alignment vertical="center" wrapText="1"/>
    </xf>
    <xf numFmtId="0" fontId="6" fillId="0" borderId="17" xfId="0" applyFont="1" applyBorder="1" applyAlignment="1" applyProtection="1">
      <alignment vertical="center"/>
    </xf>
    <xf numFmtId="167" fontId="5" fillId="2" borderId="10" xfId="2" applyNumberFormat="1" applyFont="1" applyFill="1" applyBorder="1" applyAlignment="1" applyProtection="1">
      <alignment horizontal="center" vertical="center"/>
    </xf>
    <xf numFmtId="165" fontId="5" fillId="2" borderId="10" xfId="1" applyNumberFormat="1" applyFont="1" applyFill="1" applyBorder="1" applyAlignment="1" applyProtection="1">
      <alignment horizontal="center" vertical="center"/>
    </xf>
    <xf numFmtId="0" fontId="3" fillId="0" borderId="20" xfId="0" applyFont="1" applyBorder="1" applyAlignment="1" applyProtection="1">
      <alignment vertical="center"/>
    </xf>
    <xf numFmtId="167" fontId="3" fillId="0" borderId="15" xfId="2" applyNumberFormat="1" applyFont="1" applyBorder="1" applyAlignment="1" applyProtection="1">
      <alignment horizontal="center" vertical="center"/>
    </xf>
    <xf numFmtId="0" fontId="3" fillId="0" borderId="17" xfId="0" applyFont="1" applyBorder="1" applyAlignment="1" applyProtection="1">
      <alignment horizontal="left" vertical="center"/>
    </xf>
    <xf numFmtId="168" fontId="3" fillId="0" borderId="12" xfId="2" applyNumberFormat="1" applyFont="1" applyBorder="1" applyAlignment="1" applyProtection="1">
      <alignment horizontal="center" vertical="center"/>
    </xf>
    <xf numFmtId="168" fontId="3" fillId="0" borderId="0" xfId="2" applyNumberFormat="1" applyFont="1" applyBorder="1" applyAlignment="1" applyProtection="1">
      <alignment horizontal="center" vertical="center"/>
    </xf>
    <xf numFmtId="4" fontId="3" fillId="0" borderId="0" xfId="2" applyNumberFormat="1" applyFont="1" applyBorder="1" applyAlignment="1" applyProtection="1">
      <alignment horizontal="center" vertical="center"/>
    </xf>
    <xf numFmtId="168" fontId="3" fillId="0" borderId="20" xfId="2" applyNumberFormat="1" applyFont="1" applyBorder="1" applyAlignment="1" applyProtection="1">
      <alignment horizontal="center" vertical="center"/>
    </xf>
    <xf numFmtId="167" fontId="3" fillId="0" borderId="0" xfId="2" applyNumberFormat="1" applyFont="1" applyBorder="1" applyAlignment="1" applyProtection="1">
      <alignment horizontal="center" vertical="center"/>
    </xf>
    <xf numFmtId="0" fontId="3" fillId="3" borderId="16" xfId="0" applyFont="1" applyFill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center"/>
    </xf>
    <xf numFmtId="0" fontId="3" fillId="0" borderId="14" xfId="0" applyFont="1" applyFill="1" applyBorder="1" applyAlignment="1" applyProtection="1">
      <alignment vertical="center"/>
    </xf>
    <xf numFmtId="167" fontId="3" fillId="0" borderId="16" xfId="2" quotePrefix="1" applyNumberFormat="1" applyFont="1" applyFill="1" applyBorder="1" applyAlignment="1" applyProtection="1">
      <alignment horizontal="center" vertical="center"/>
    </xf>
    <xf numFmtId="0" fontId="6" fillId="0" borderId="16" xfId="0" applyFont="1" applyFill="1" applyBorder="1" applyAlignment="1" applyProtection="1">
      <alignment horizontal="center" vertical="center" wrapText="1"/>
    </xf>
    <xf numFmtId="0" fontId="3" fillId="0" borderId="17" xfId="0" applyFont="1" applyFill="1" applyBorder="1" applyAlignment="1" applyProtection="1">
      <alignment horizontal="left" vertical="center"/>
    </xf>
    <xf numFmtId="0" fontId="3" fillId="0" borderId="0" xfId="0" applyFont="1" applyFill="1" applyProtection="1"/>
    <xf numFmtId="0" fontId="6" fillId="0" borderId="16" xfId="0" applyFont="1" applyBorder="1" applyAlignment="1" applyProtection="1">
      <alignment horizontal="center" vertical="center" wrapText="1"/>
    </xf>
    <xf numFmtId="0" fontId="3" fillId="0" borderId="14" xfId="0" applyFont="1" applyFill="1" applyBorder="1" applyAlignment="1" applyProtection="1">
      <alignment vertical="center" wrapText="1"/>
    </xf>
    <xf numFmtId="0" fontId="3" fillId="0" borderId="16" xfId="0" applyFont="1" applyFill="1" applyBorder="1" applyAlignment="1" applyProtection="1">
      <alignment horizontal="center" vertical="center" wrapText="1"/>
    </xf>
    <xf numFmtId="0" fontId="3" fillId="0" borderId="17" xfId="0" applyFont="1" applyFill="1" applyBorder="1" applyAlignment="1" applyProtection="1">
      <alignment vertical="center"/>
    </xf>
    <xf numFmtId="165" fontId="5" fillId="2" borderId="16" xfId="1" applyNumberFormat="1" applyFont="1" applyFill="1" applyBorder="1" applyAlignment="1" applyProtection="1">
      <alignment horizontal="center" vertical="center"/>
    </xf>
    <xf numFmtId="0" fontId="6" fillId="0" borderId="0" xfId="0" applyFont="1" applyAlignment="1" applyProtection="1">
      <alignment horizontal="left" vertical="top"/>
    </xf>
    <xf numFmtId="0" fontId="3" fillId="0" borderId="0" xfId="0" applyFont="1" applyBorder="1" applyProtection="1"/>
    <xf numFmtId="0" fontId="3" fillId="0" borderId="20" xfId="0" applyFont="1" applyBorder="1" applyProtection="1"/>
    <xf numFmtId="0" fontId="6" fillId="0" borderId="0" xfId="0" applyFont="1" applyBorder="1" applyAlignment="1" applyProtection="1">
      <alignment vertical="top"/>
    </xf>
    <xf numFmtId="0" fontId="3" fillId="0" borderId="18" xfId="0" applyFont="1" applyFill="1" applyBorder="1" applyAlignment="1" applyProtection="1">
      <alignment vertical="center"/>
    </xf>
    <xf numFmtId="167" fontId="3" fillId="0" borderId="0" xfId="2" quotePrefix="1" applyNumberFormat="1" applyFont="1" applyFill="1" applyBorder="1" applyAlignment="1" applyProtection="1">
      <alignment horizontal="center" vertical="center"/>
    </xf>
    <xf numFmtId="165" fontId="3" fillId="0" borderId="15" xfId="1" applyNumberFormat="1" applyFont="1" applyFill="1" applyBorder="1" applyAlignment="1" applyProtection="1">
      <alignment horizontal="center" vertical="center"/>
    </xf>
    <xf numFmtId="0" fontId="3" fillId="0" borderId="19" xfId="0" applyFont="1" applyFill="1" applyBorder="1" applyAlignment="1" applyProtection="1">
      <alignment horizontal="left" vertical="center"/>
    </xf>
    <xf numFmtId="167" fontId="3" fillId="0" borderId="15" xfId="2" quotePrefix="1" applyNumberFormat="1" applyFont="1" applyFill="1" applyBorder="1" applyAlignment="1" applyProtection="1">
      <alignment horizontal="center" vertical="center"/>
    </xf>
    <xf numFmtId="167" fontId="3" fillId="0" borderId="16" xfId="0" quotePrefix="1" applyNumberFormat="1" applyFont="1" applyFill="1" applyBorder="1" applyAlignment="1" applyProtection="1">
      <alignment horizontal="center" vertical="center"/>
    </xf>
    <xf numFmtId="0" fontId="9" fillId="0" borderId="12" xfId="0" applyFont="1" applyBorder="1" applyAlignment="1" applyProtection="1">
      <alignment horizontal="left" vertical="top" wrapText="1"/>
    </xf>
    <xf numFmtId="0" fontId="6" fillId="0" borderId="12" xfId="0" applyFont="1" applyBorder="1" applyAlignment="1" applyProtection="1">
      <alignment horizontal="left" vertical="top" wrapText="1"/>
    </xf>
    <xf numFmtId="0" fontId="5" fillId="2" borderId="23" xfId="0" applyFont="1" applyFill="1" applyBorder="1" applyAlignment="1" applyProtection="1">
      <alignment vertical="center"/>
    </xf>
    <xf numFmtId="167" fontId="5" fillId="2" borderId="24" xfId="2" quotePrefix="1" applyNumberFormat="1" applyFont="1" applyFill="1" applyBorder="1" applyAlignment="1" applyProtection="1">
      <alignment horizontal="center" vertical="center"/>
    </xf>
    <xf numFmtId="0" fontId="5" fillId="2" borderId="24" xfId="0" applyFont="1" applyFill="1" applyBorder="1" applyAlignment="1" applyProtection="1">
      <alignment horizontal="center" vertical="center"/>
    </xf>
    <xf numFmtId="165" fontId="5" fillId="2" borderId="24" xfId="1" applyNumberFormat="1" applyFont="1" applyFill="1" applyBorder="1" applyAlignment="1" applyProtection="1">
      <alignment horizontal="center" vertical="center"/>
    </xf>
    <xf numFmtId="0" fontId="5" fillId="2" borderId="25" xfId="0" applyFont="1" applyFill="1" applyBorder="1" applyAlignment="1" applyProtection="1">
      <alignment horizontal="center" vertical="center"/>
    </xf>
    <xf numFmtId="4" fontId="3" fillId="0" borderId="0" xfId="1" applyNumberFormat="1" applyFont="1" applyBorder="1" applyAlignment="1" applyProtection="1">
      <alignment horizontal="center" vertical="center"/>
    </xf>
    <xf numFmtId="0" fontId="3" fillId="0" borderId="15" xfId="0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vertical="center" wrapText="1"/>
    </xf>
    <xf numFmtId="165" fontId="3" fillId="0" borderId="29" xfId="0" quotePrefix="1" applyNumberFormat="1" applyFont="1" applyFill="1" applyBorder="1" applyAlignment="1" applyProtection="1">
      <alignment horizontal="center" vertical="center"/>
      <protection locked="0"/>
    </xf>
    <xf numFmtId="0" fontId="3" fillId="0" borderId="19" xfId="0" applyFont="1" applyFill="1" applyBorder="1" applyAlignment="1" applyProtection="1">
      <alignment horizontal="left" vertical="center" wrapText="1"/>
    </xf>
    <xf numFmtId="4" fontId="3" fillId="0" borderId="0" xfId="0" applyNumberFormat="1" applyFont="1" applyBorder="1" applyAlignment="1" applyProtection="1">
      <alignment horizontal="center" vertical="center" wrapText="1"/>
    </xf>
    <xf numFmtId="0" fontId="9" fillId="0" borderId="12" xfId="0" applyFont="1" applyBorder="1" applyAlignment="1" applyProtection="1">
      <alignment vertical="top"/>
    </xf>
    <xf numFmtId="0" fontId="5" fillId="2" borderId="1" xfId="0" applyFont="1" applyFill="1" applyBorder="1" applyAlignment="1" applyProtection="1">
      <alignment vertical="center"/>
    </xf>
    <xf numFmtId="0" fontId="3" fillId="0" borderId="31" xfId="0" applyFont="1" applyBorder="1" applyAlignment="1" applyProtection="1">
      <alignment vertical="center" wrapText="1"/>
    </xf>
    <xf numFmtId="0" fontId="3" fillId="0" borderId="21" xfId="0" applyFont="1" applyBorder="1" applyAlignment="1" applyProtection="1">
      <alignment horizontal="center" vertical="center" wrapText="1"/>
    </xf>
    <xf numFmtId="0" fontId="3" fillId="0" borderId="21" xfId="0" applyFont="1" applyBorder="1" applyAlignment="1" applyProtection="1">
      <alignment vertical="center" wrapText="1"/>
    </xf>
    <xf numFmtId="4" fontId="3" fillId="0" borderId="21" xfId="0" applyNumberFormat="1" applyFont="1" applyBorder="1" applyAlignment="1" applyProtection="1">
      <alignment horizontal="center" vertical="center" wrapText="1"/>
    </xf>
    <xf numFmtId="0" fontId="5" fillId="2" borderId="23" xfId="0" applyFont="1" applyFill="1" applyBorder="1" applyAlignment="1" applyProtection="1">
      <alignment vertical="center" wrapText="1"/>
    </xf>
    <xf numFmtId="168" fontId="5" fillId="2" borderId="24" xfId="2" applyNumberFormat="1" applyFont="1" applyFill="1" applyBorder="1" applyAlignment="1" applyProtection="1">
      <alignment horizontal="center" vertical="center"/>
    </xf>
    <xf numFmtId="169" fontId="5" fillId="2" borderId="24" xfId="1" applyNumberFormat="1" applyFont="1" applyFill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vertical="center"/>
    </xf>
    <xf numFmtId="0" fontId="3" fillId="0" borderId="2" xfId="0" applyFont="1" applyBorder="1" applyAlignment="1" applyProtection="1">
      <alignment vertical="center"/>
    </xf>
    <xf numFmtId="4" fontId="3" fillId="0" borderId="2" xfId="0" applyNumberFormat="1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vertical="center"/>
    </xf>
    <xf numFmtId="165" fontId="3" fillId="0" borderId="16" xfId="0" applyNumberFormat="1" applyFont="1" applyBorder="1" applyAlignment="1" applyProtection="1">
      <alignment horizontal="center" vertical="center"/>
    </xf>
    <xf numFmtId="0" fontId="3" fillId="0" borderId="17" xfId="0" applyFont="1" applyFill="1" applyBorder="1" applyAlignment="1" applyProtection="1">
      <alignment horizontal="center" vertical="center"/>
    </xf>
    <xf numFmtId="0" fontId="3" fillId="0" borderId="17" xfId="0" applyFont="1" applyFill="1" applyBorder="1" applyAlignment="1" applyProtection="1">
      <alignment horizontal="left" vertical="center" wrapText="1"/>
    </xf>
    <xf numFmtId="0" fontId="5" fillId="2" borderId="33" xfId="0" applyFont="1" applyFill="1" applyBorder="1" applyAlignment="1" applyProtection="1">
      <alignment vertical="center"/>
    </xf>
    <xf numFmtId="0" fontId="5" fillId="2" borderId="34" xfId="0" applyFont="1" applyFill="1" applyBorder="1" applyAlignment="1" applyProtection="1">
      <alignment vertical="center"/>
    </xf>
    <xf numFmtId="168" fontId="5" fillId="2" borderId="35" xfId="2" applyNumberFormat="1" applyFont="1" applyFill="1" applyBorder="1" applyAlignment="1" applyProtection="1">
      <alignment horizontal="center" vertical="center"/>
    </xf>
    <xf numFmtId="4" fontId="5" fillId="2" borderId="35" xfId="2" applyNumberFormat="1" applyFont="1" applyFill="1" applyBorder="1" applyAlignment="1" applyProtection="1">
      <alignment horizontal="center" vertical="center"/>
    </xf>
    <xf numFmtId="0" fontId="5" fillId="0" borderId="23" xfId="0" applyFont="1" applyFill="1" applyBorder="1" applyAlignment="1" applyProtection="1">
      <alignment vertical="center" wrapText="1"/>
    </xf>
    <xf numFmtId="168" fontId="5" fillId="0" borderId="24" xfId="2" applyNumberFormat="1" applyFont="1" applyFill="1" applyBorder="1" applyAlignment="1" applyProtection="1">
      <alignment horizontal="center" vertical="center"/>
    </xf>
    <xf numFmtId="169" fontId="5" fillId="0" borderId="24" xfId="1" applyNumberFormat="1" applyFont="1" applyFill="1" applyBorder="1" applyAlignment="1" applyProtection="1">
      <alignment horizontal="center" vertical="center"/>
    </xf>
    <xf numFmtId="169" fontId="5" fillId="0" borderId="11" xfId="1" applyNumberFormat="1" applyFont="1" applyFill="1" applyBorder="1" applyAlignment="1" applyProtection="1">
      <alignment horizontal="center" vertical="center"/>
    </xf>
    <xf numFmtId="4" fontId="3" fillId="0" borderId="0" xfId="0" applyNumberFormat="1" applyFont="1" applyAlignment="1" applyProtection="1">
      <alignment horizontal="center"/>
    </xf>
    <xf numFmtId="171" fontId="3" fillId="0" borderId="15" xfId="0" applyNumberFormat="1" applyFont="1" applyBorder="1" applyAlignment="1" applyProtection="1">
      <alignment horizontal="center" vertical="center"/>
    </xf>
    <xf numFmtId="0" fontId="0" fillId="0" borderId="0" xfId="0" applyFill="1" applyProtection="1"/>
    <xf numFmtId="1" fontId="0" fillId="0" borderId="0" xfId="0" applyNumberFormat="1" applyFill="1" applyProtection="1"/>
    <xf numFmtId="14" fontId="0" fillId="0" borderId="0" xfId="0" applyNumberFormat="1" applyFill="1" applyProtection="1"/>
    <xf numFmtId="14" fontId="11" fillId="4" borderId="30" xfId="0" applyNumberFormat="1" applyFont="1" applyFill="1" applyBorder="1" applyAlignment="1" applyProtection="1">
      <alignment horizontal="center" vertical="center"/>
    </xf>
    <xf numFmtId="14" fontId="11" fillId="4" borderId="10" xfId="0" applyNumberFormat="1" applyFont="1" applyFill="1" applyBorder="1" applyAlignment="1" applyProtection="1">
      <alignment horizontal="center" vertical="center"/>
    </xf>
    <xf numFmtId="170" fontId="11" fillId="4" borderId="10" xfId="0" applyNumberFormat="1" applyFont="1" applyFill="1" applyBorder="1" applyAlignment="1" applyProtection="1">
      <alignment horizontal="center" vertical="center"/>
    </xf>
    <xf numFmtId="171" fontId="11" fillId="4" borderId="11" xfId="0" applyNumberFormat="1" applyFont="1" applyFill="1" applyBorder="1" applyAlignment="1" applyProtection="1">
      <alignment horizontal="center" vertical="center"/>
    </xf>
    <xf numFmtId="0" fontId="12" fillId="0" borderId="0" xfId="0" applyFont="1" applyBorder="1" applyProtection="1"/>
    <xf numFmtId="0" fontId="12" fillId="0" borderId="0" xfId="0" applyFont="1" applyProtection="1"/>
    <xf numFmtId="0" fontId="0" fillId="0" borderId="0" xfId="0" applyProtection="1"/>
    <xf numFmtId="0" fontId="6" fillId="0" borderId="12" xfId="0" applyFont="1" applyBorder="1" applyAlignment="1" applyProtection="1">
      <alignment horizontal="left" vertical="top"/>
    </xf>
    <xf numFmtId="167" fontId="3" fillId="0" borderId="16" xfId="2" applyNumberFormat="1" applyFont="1" applyFill="1" applyBorder="1" applyAlignment="1" applyProtection="1">
      <alignment horizontal="center" vertical="center"/>
    </xf>
    <xf numFmtId="0" fontId="6" fillId="0" borderId="16" xfId="0" applyFont="1" applyBorder="1" applyAlignment="1" applyProtection="1">
      <alignment horizontal="center" vertical="center"/>
    </xf>
    <xf numFmtId="165" fontId="3" fillId="0" borderId="10" xfId="1" applyNumberFormat="1" applyFont="1" applyFill="1" applyBorder="1" applyAlignment="1" applyProtection="1">
      <alignment horizontal="center" vertical="center"/>
    </xf>
    <xf numFmtId="168" fontId="3" fillId="0" borderId="24" xfId="2" applyNumberFormat="1" applyFont="1" applyFill="1" applyBorder="1" applyAlignment="1" applyProtection="1">
      <alignment horizontal="center" vertical="center"/>
    </xf>
    <xf numFmtId="165" fontId="3" fillId="0" borderId="40" xfId="0" quotePrefix="1" applyNumberFormat="1" applyFont="1" applyFill="1" applyBorder="1" applyAlignment="1" applyProtection="1">
      <alignment horizontal="center" vertical="center"/>
      <protection locked="0"/>
    </xf>
    <xf numFmtId="165" fontId="3" fillId="0" borderId="29" xfId="1" applyNumberFormat="1" applyFont="1" applyBorder="1" applyAlignment="1" applyProtection="1">
      <alignment horizontal="center" vertical="center"/>
    </xf>
    <xf numFmtId="165" fontId="3" fillId="0" borderId="41" xfId="1" applyNumberFormat="1" applyFont="1" applyBorder="1" applyAlignment="1" applyProtection="1">
      <alignment horizontal="center" vertical="center"/>
    </xf>
    <xf numFmtId="0" fontId="5" fillId="2" borderId="35" xfId="0" applyFont="1" applyFill="1" applyBorder="1" applyAlignment="1" applyProtection="1">
      <alignment horizontal="center" vertical="center"/>
    </xf>
    <xf numFmtId="0" fontId="5" fillId="2" borderId="39" xfId="0" applyFont="1" applyFill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left" vertical="top"/>
    </xf>
    <xf numFmtId="0" fontId="3" fillId="0" borderId="5" xfId="0" applyFont="1" applyBorder="1" applyProtection="1"/>
    <xf numFmtId="0" fontId="3" fillId="0" borderId="6" xfId="0" applyFont="1" applyBorder="1" applyProtection="1"/>
    <xf numFmtId="14" fontId="0" fillId="0" borderId="0" xfId="0" applyNumberFormat="1" applyProtection="1"/>
    <xf numFmtId="0" fontId="0" fillId="0" borderId="0" xfId="0" applyNumberFormat="1" applyProtection="1"/>
    <xf numFmtId="0" fontId="16" fillId="0" borderId="0" xfId="0" applyFont="1" applyAlignment="1" applyProtection="1">
      <alignment horizontal="left" vertical="center"/>
    </xf>
    <xf numFmtId="168" fontId="3" fillId="0" borderId="24" xfId="2" applyNumberFormat="1" applyFont="1" applyFill="1" applyBorder="1" applyAlignment="1" applyProtection="1">
      <alignment horizontal="center" vertical="center" wrapText="1"/>
    </xf>
    <xf numFmtId="0" fontId="5" fillId="0" borderId="23" xfId="0" applyFont="1" applyFill="1" applyBorder="1" applyAlignment="1" applyProtection="1">
      <alignment horizontal="left" vertical="center" wrapText="1"/>
    </xf>
    <xf numFmtId="0" fontId="5" fillId="2" borderId="8" xfId="0" quotePrefix="1" applyFont="1" applyFill="1" applyBorder="1" applyAlignment="1" applyProtection="1">
      <alignment horizontal="center" vertical="center"/>
    </xf>
    <xf numFmtId="165" fontId="3" fillId="2" borderId="24" xfId="0" quotePrefix="1" applyNumberFormat="1" applyFont="1" applyFill="1" applyBorder="1" applyAlignment="1" applyProtection="1">
      <alignment horizontal="center" vertical="center"/>
    </xf>
    <xf numFmtId="0" fontId="5" fillId="2" borderId="28" xfId="0" quotePrefix="1" applyFont="1" applyFill="1" applyBorder="1" applyAlignment="1" applyProtection="1">
      <alignment horizontal="center" vertical="center"/>
    </xf>
    <xf numFmtId="165" fontId="3" fillId="0" borderId="29" xfId="0" quotePrefix="1" applyNumberFormat="1" applyFont="1" applyBorder="1" applyAlignment="1" applyProtection="1">
      <alignment horizontal="center" vertical="center"/>
    </xf>
    <xf numFmtId="165" fontId="3" fillId="2" borderId="30" xfId="0" quotePrefix="1" applyNumberFormat="1" applyFont="1" applyFill="1" applyBorder="1" applyAlignment="1" applyProtection="1">
      <alignment horizontal="center" vertical="center"/>
    </xf>
    <xf numFmtId="167" fontId="3" fillId="0" borderId="16" xfId="2" applyNumberFormat="1" applyFont="1" applyFill="1" applyBorder="1" applyAlignment="1" applyProtection="1">
      <alignment horizontal="center" vertical="center"/>
      <protection locked="0"/>
    </xf>
    <xf numFmtId="0" fontId="3" fillId="0" borderId="16" xfId="0" quotePrefix="1" applyFont="1" applyBorder="1" applyAlignment="1" applyProtection="1">
      <alignment horizontal="center" vertical="center"/>
    </xf>
    <xf numFmtId="0" fontId="6" fillId="0" borderId="15" xfId="0" applyFont="1" applyFill="1" applyBorder="1" applyAlignment="1" applyProtection="1">
      <alignment horizontal="center" vertical="center" wrapText="1"/>
    </xf>
    <xf numFmtId="0" fontId="3" fillId="0" borderId="15" xfId="0" applyFont="1" applyFill="1" applyBorder="1" applyAlignment="1" applyProtection="1">
      <alignment horizontal="center" vertical="center"/>
    </xf>
    <xf numFmtId="0" fontId="0" fillId="0" borderId="0" xfId="0" applyAlignment="1" applyProtection="1">
      <alignment wrapText="1"/>
    </xf>
    <xf numFmtId="0" fontId="0" fillId="0" borderId="20" xfId="0" applyBorder="1" applyAlignment="1" applyProtection="1">
      <alignment wrapText="1"/>
    </xf>
    <xf numFmtId="0" fontId="3" fillId="0" borderId="17" xfId="0" quotePrefix="1" applyFont="1" applyBorder="1" applyAlignment="1" applyProtection="1">
      <alignment horizontal="center" vertical="center" wrapText="1"/>
    </xf>
    <xf numFmtId="0" fontId="3" fillId="0" borderId="19" xfId="0" applyFont="1" applyBorder="1" applyAlignment="1" applyProtection="1">
      <alignment horizontal="left" vertical="center" wrapText="1"/>
    </xf>
    <xf numFmtId="0" fontId="5" fillId="2" borderId="42" xfId="0" applyFont="1" applyFill="1" applyBorder="1" applyAlignment="1" applyProtection="1">
      <alignment horizontal="center" vertical="center"/>
    </xf>
    <xf numFmtId="0" fontId="3" fillId="0" borderId="16" xfId="0" applyFont="1" applyFill="1" applyBorder="1" applyAlignment="1" applyProtection="1">
      <alignment vertical="center" wrapText="1"/>
    </xf>
    <xf numFmtId="168" fontId="5" fillId="0" borderId="16" xfId="2" applyNumberFormat="1" applyFont="1" applyFill="1" applyBorder="1" applyAlignment="1" applyProtection="1">
      <alignment horizontal="center" vertical="center"/>
    </xf>
    <xf numFmtId="0" fontId="3" fillId="0" borderId="16" xfId="0" applyFont="1" applyBorder="1" applyProtection="1"/>
    <xf numFmtId="0" fontId="3" fillId="0" borderId="7" xfId="0" applyFont="1" applyFill="1" applyBorder="1" applyAlignment="1" applyProtection="1">
      <alignment vertical="center" wrapText="1"/>
    </xf>
    <xf numFmtId="168" fontId="5" fillId="0" borderId="8" xfId="2" applyNumberFormat="1" applyFont="1" applyFill="1" applyBorder="1" applyAlignment="1" applyProtection="1">
      <alignment horizontal="center" vertical="center"/>
    </xf>
    <xf numFmtId="0" fontId="3" fillId="0" borderId="14" xfId="0" applyFont="1" applyBorder="1" applyProtection="1"/>
    <xf numFmtId="0" fontId="3" fillId="0" borderId="9" xfId="0" applyFont="1" applyBorder="1" applyProtection="1"/>
    <xf numFmtId="168" fontId="5" fillId="0" borderId="10" xfId="2" applyNumberFormat="1" applyFont="1" applyFill="1" applyBorder="1" applyAlignment="1" applyProtection="1">
      <alignment horizontal="center" vertical="center"/>
    </xf>
    <xf numFmtId="168" fontId="3" fillId="0" borderId="8" xfId="2" applyNumberFormat="1" applyFont="1" applyFill="1" applyBorder="1" applyAlignment="1" applyProtection="1">
      <alignment horizontal="center" vertical="center"/>
    </xf>
    <xf numFmtId="168" fontId="3" fillId="0" borderId="16" xfId="2" applyNumberFormat="1" applyFont="1" applyFill="1" applyBorder="1" applyAlignment="1" applyProtection="1">
      <alignment horizontal="center" vertical="center"/>
    </xf>
    <xf numFmtId="168" fontId="3" fillId="0" borderId="10" xfId="2" applyNumberFormat="1" applyFont="1" applyFill="1" applyBorder="1" applyAlignment="1" applyProtection="1">
      <alignment horizontal="center" vertical="center"/>
    </xf>
    <xf numFmtId="169" fontId="3" fillId="0" borderId="8" xfId="1" applyNumberFormat="1" applyFont="1" applyFill="1" applyBorder="1" applyAlignment="1" applyProtection="1">
      <alignment horizontal="center" vertical="center"/>
    </xf>
    <xf numFmtId="169" fontId="3" fillId="0" borderId="16" xfId="1" applyNumberFormat="1" applyFont="1" applyFill="1" applyBorder="1" applyAlignment="1" applyProtection="1">
      <alignment horizontal="center" vertical="center"/>
    </xf>
    <xf numFmtId="169" fontId="3" fillId="0" borderId="10" xfId="1" applyNumberFormat="1" applyFont="1" applyFill="1" applyBorder="1" applyAlignment="1" applyProtection="1">
      <alignment horizontal="center" vertical="center"/>
    </xf>
    <xf numFmtId="169" fontId="3" fillId="0" borderId="24" xfId="1" applyNumberFormat="1" applyFont="1" applyFill="1" applyBorder="1" applyAlignment="1" applyProtection="1">
      <alignment horizontal="center" vertical="center"/>
    </xf>
    <xf numFmtId="169" fontId="3" fillId="0" borderId="11" xfId="1" applyNumberFormat="1" applyFont="1" applyFill="1" applyBorder="1" applyAlignment="1" applyProtection="1">
      <alignment horizontal="center" vertical="center"/>
    </xf>
    <xf numFmtId="169" fontId="3" fillId="0" borderId="13" xfId="1" applyNumberFormat="1" applyFont="1" applyFill="1" applyBorder="1" applyAlignment="1" applyProtection="1">
      <alignment horizontal="center" vertical="center"/>
    </xf>
    <xf numFmtId="169" fontId="3" fillId="0" borderId="17" xfId="1" applyNumberFormat="1" applyFont="1" applyFill="1" applyBorder="1" applyAlignment="1" applyProtection="1">
      <alignment horizontal="center" vertical="center"/>
    </xf>
    <xf numFmtId="0" fontId="5" fillId="2" borderId="43" xfId="0" applyFont="1" applyFill="1" applyBorder="1" applyAlignment="1" applyProtection="1">
      <alignment vertical="center"/>
    </xf>
    <xf numFmtId="167" fontId="5" fillId="2" borderId="39" xfId="2" quotePrefix="1" applyNumberFormat="1" applyFont="1" applyFill="1" applyBorder="1" applyAlignment="1" applyProtection="1">
      <alignment horizontal="center" vertical="center"/>
    </xf>
    <xf numFmtId="169" fontId="5" fillId="2" borderId="44" xfId="0" applyNumberFormat="1" applyFont="1" applyFill="1" applyBorder="1" applyAlignment="1" applyProtection="1">
      <alignment horizontal="center" vertical="center"/>
    </xf>
    <xf numFmtId="169" fontId="5" fillId="2" borderId="39" xfId="1" applyNumberFormat="1" applyFont="1" applyFill="1" applyBorder="1" applyAlignment="1" applyProtection="1">
      <alignment horizontal="center" vertical="center"/>
    </xf>
    <xf numFmtId="165" fontId="3" fillId="0" borderId="29" xfId="0" quotePrefix="1" applyNumberFormat="1" applyFont="1" applyFill="1" applyBorder="1" applyAlignment="1" applyProtection="1">
      <alignment horizontal="center" vertical="center"/>
    </xf>
    <xf numFmtId="0" fontId="6" fillId="3" borderId="0" xfId="0" applyFont="1" applyFill="1" applyBorder="1" applyAlignment="1" applyProtection="1">
      <alignment horizontal="left" vertical="top" wrapText="1"/>
    </xf>
    <xf numFmtId="0" fontId="3" fillId="0" borderId="19" xfId="0" applyFont="1" applyBorder="1" applyAlignment="1" applyProtection="1">
      <alignment horizontal="left" vertical="center" wrapText="1"/>
    </xf>
    <xf numFmtId="0" fontId="3" fillId="0" borderId="17" xfId="0" quotePrefix="1" applyFont="1" applyFill="1" applyBorder="1" applyAlignment="1" applyProtection="1">
      <alignment horizontal="center" vertical="center" wrapText="1"/>
    </xf>
    <xf numFmtId="0" fontId="3" fillId="0" borderId="43" xfId="0" applyFont="1" applyBorder="1" applyAlignment="1" applyProtection="1">
      <alignment vertical="center"/>
    </xf>
    <xf numFmtId="0" fontId="3" fillId="0" borderId="39" xfId="0" applyFont="1" applyBorder="1" applyAlignment="1" applyProtection="1">
      <alignment horizontal="center" vertical="center"/>
    </xf>
    <xf numFmtId="165" fontId="3" fillId="0" borderId="39" xfId="1" applyNumberFormat="1" applyFont="1" applyFill="1" applyBorder="1" applyAlignment="1" applyProtection="1">
      <alignment horizontal="center" vertical="center"/>
    </xf>
    <xf numFmtId="0" fontId="3" fillId="0" borderId="44" xfId="0" applyFont="1" applyBorder="1" applyAlignment="1" applyProtection="1">
      <alignment horizontal="center" vertical="center"/>
    </xf>
    <xf numFmtId="0" fontId="19" fillId="0" borderId="10" xfId="0" applyFont="1" applyBorder="1" applyAlignment="1" applyProtection="1">
      <alignment horizontal="center" vertical="center"/>
    </xf>
    <xf numFmtId="0" fontId="6" fillId="0" borderId="31" xfId="0" applyFont="1" applyBorder="1" applyAlignment="1" applyProtection="1">
      <alignment horizontal="left" vertical="top" wrapText="1"/>
    </xf>
    <xf numFmtId="0" fontId="0" fillId="0" borderId="21" xfId="0" applyFont="1" applyBorder="1" applyAlignment="1" applyProtection="1">
      <alignment horizontal="left" vertical="top" wrapText="1"/>
    </xf>
    <xf numFmtId="0" fontId="3" fillId="0" borderId="5" xfId="0" applyFont="1" applyBorder="1" applyAlignment="1" applyProtection="1">
      <alignment horizontal="left" vertical="top"/>
    </xf>
    <xf numFmtId="0" fontId="3" fillId="0" borderId="15" xfId="0" quotePrefix="1" applyFont="1" applyBorder="1" applyAlignment="1" applyProtection="1">
      <alignment horizontal="center" vertical="center"/>
    </xf>
    <xf numFmtId="0" fontId="6" fillId="0" borderId="15" xfId="0" applyFont="1" applyBorder="1" applyAlignment="1" applyProtection="1">
      <alignment horizontal="center" vertical="center" wrapText="1"/>
    </xf>
    <xf numFmtId="167" fontId="3" fillId="0" borderId="15" xfId="2" applyNumberFormat="1" applyFont="1" applyFill="1" applyBorder="1" applyAlignment="1" applyProtection="1">
      <alignment horizontal="center" vertical="center"/>
    </xf>
    <xf numFmtId="0" fontId="5" fillId="0" borderId="0" xfId="0" applyFont="1" applyAlignment="1" applyProtection="1">
      <alignment horizontal="left" vertical="top"/>
    </xf>
    <xf numFmtId="0" fontId="0" fillId="0" borderId="0" xfId="0" applyFont="1" applyBorder="1" applyAlignment="1" applyProtection="1">
      <alignment horizontal="left" vertical="top" wrapText="1"/>
    </xf>
    <xf numFmtId="0" fontId="20" fillId="0" borderId="0" xfId="0" applyFont="1" applyBorder="1" applyAlignment="1" applyProtection="1">
      <alignment horizontal="left" vertical="top" wrapText="1"/>
    </xf>
    <xf numFmtId="0" fontId="5" fillId="0" borderId="18" xfId="0" applyFont="1" applyFill="1" applyBorder="1" applyAlignment="1" applyProtection="1">
      <alignment vertical="center"/>
    </xf>
    <xf numFmtId="0" fontId="6" fillId="0" borderId="0" xfId="0" applyFont="1" applyBorder="1" applyAlignment="1" applyProtection="1">
      <alignment horizontal="left" vertical="top"/>
    </xf>
    <xf numFmtId="0" fontId="6" fillId="0" borderId="20" xfId="0" applyFont="1" applyBorder="1" applyAlignment="1" applyProtection="1">
      <alignment horizontal="left" vertical="top"/>
    </xf>
    <xf numFmtId="0" fontId="5" fillId="2" borderId="16" xfId="11" applyFont="1" applyFill="1" applyBorder="1" applyAlignment="1" applyProtection="1">
      <alignment vertical="center"/>
    </xf>
    <xf numFmtId="0" fontId="5" fillId="2" borderId="16" xfId="11" applyFont="1" applyFill="1" applyBorder="1" applyAlignment="1" applyProtection="1">
      <alignment horizontal="center" vertical="center"/>
    </xf>
    <xf numFmtId="4" fontId="5" fillId="2" borderId="16" xfId="11" applyNumberFormat="1" applyFont="1" applyFill="1" applyBorder="1" applyAlignment="1" applyProtection="1">
      <alignment horizontal="center" vertical="center"/>
    </xf>
    <xf numFmtId="0" fontId="6" fillId="0" borderId="16" xfId="11" applyFont="1" applyBorder="1" applyAlignment="1" applyProtection="1">
      <alignment horizontal="left" vertical="center" wrapText="1"/>
    </xf>
    <xf numFmtId="0" fontId="6" fillId="0" borderId="12" xfId="11" applyFont="1" applyBorder="1" applyAlignment="1" applyProtection="1">
      <alignment horizontal="left" vertical="top" wrapText="1"/>
    </xf>
    <xf numFmtId="0" fontId="5" fillId="2" borderId="23" xfId="11" applyFont="1" applyFill="1" applyBorder="1" applyAlignment="1" applyProtection="1">
      <alignment vertical="center"/>
    </xf>
    <xf numFmtId="0" fontId="5" fillId="2" borderId="25" xfId="11" applyFont="1" applyFill="1" applyBorder="1" applyAlignment="1" applyProtection="1">
      <alignment horizontal="center" vertical="center"/>
    </xf>
    <xf numFmtId="0" fontId="3" fillId="0" borderId="0" xfId="11" applyFont="1" applyBorder="1" applyAlignment="1" applyProtection="1">
      <alignment vertical="center"/>
    </xf>
    <xf numFmtId="0" fontId="30" fillId="2" borderId="24" xfId="11" applyFont="1" applyFill="1" applyBorder="1" applyAlignment="1" applyProtection="1">
      <alignment horizontal="center" vertical="center"/>
    </xf>
    <xf numFmtId="0" fontId="24" fillId="0" borderId="0" xfId="0" applyFont="1" applyProtection="1"/>
    <xf numFmtId="0" fontId="28" fillId="0" borderId="0" xfId="11" applyProtection="1"/>
    <xf numFmtId="0" fontId="6" fillId="0" borderId="16" xfId="11" applyFont="1" applyBorder="1" applyAlignment="1" applyProtection="1">
      <alignment horizontal="center" vertical="center" wrapText="1"/>
    </xf>
    <xf numFmtId="0" fontId="6" fillId="0" borderId="16" xfId="11" applyFont="1" applyBorder="1" applyAlignment="1" applyProtection="1">
      <alignment horizontal="left" vertical="top"/>
    </xf>
    <xf numFmtId="0" fontId="6" fillId="0" borderId="0" xfId="11" applyFont="1" applyBorder="1" applyAlignment="1" applyProtection="1">
      <alignment horizontal="left" vertical="top"/>
    </xf>
    <xf numFmtId="0" fontId="6" fillId="0" borderId="20" xfId="11" applyFont="1" applyBorder="1" applyAlignment="1" applyProtection="1">
      <alignment horizontal="left" vertical="top"/>
    </xf>
    <xf numFmtId="0" fontId="20" fillId="0" borderId="20" xfId="0" applyFont="1" applyBorder="1" applyAlignment="1" applyProtection="1">
      <alignment horizontal="left" vertical="top" wrapText="1"/>
    </xf>
    <xf numFmtId="0" fontId="15" fillId="0" borderId="16" xfId="0" applyFont="1" applyBorder="1" applyAlignment="1" applyProtection="1">
      <alignment horizontal="center" vertical="center"/>
    </xf>
    <xf numFmtId="164" fontId="3" fillId="0" borderId="16" xfId="1" applyNumberFormat="1" applyFont="1" applyFill="1" applyBorder="1" applyAlignment="1" applyProtection="1">
      <alignment horizontal="center" vertical="center"/>
      <protection locked="0"/>
    </xf>
    <xf numFmtId="0" fontId="3" fillId="0" borderId="39" xfId="0" applyFont="1" applyFill="1" applyBorder="1" applyAlignment="1" applyProtection="1">
      <alignment horizontal="center" vertical="center"/>
      <protection locked="0"/>
    </xf>
    <xf numFmtId="0" fontId="31" fillId="0" borderId="0" xfId="0" applyFont="1" applyAlignment="1" applyProtection="1">
      <alignment horizontal="center" vertical="center"/>
    </xf>
    <xf numFmtId="0" fontId="3" fillId="0" borderId="16" xfId="0" applyFont="1" applyBorder="1" applyAlignment="1" applyProtection="1">
      <alignment horizontal="left" vertical="center" wrapText="1"/>
    </xf>
    <xf numFmtId="0" fontId="3" fillId="0" borderId="11" xfId="0" applyFont="1" applyBorder="1" applyAlignment="1" applyProtection="1">
      <alignment horizontal="left" vertical="center" wrapText="1"/>
    </xf>
    <xf numFmtId="0" fontId="17" fillId="0" borderId="37" xfId="0" applyFont="1" applyFill="1" applyBorder="1" applyAlignment="1" applyProtection="1">
      <alignment horizontal="center" vertical="center" wrapText="1"/>
    </xf>
    <xf numFmtId="0" fontId="18" fillId="0" borderId="38" xfId="0" applyFont="1" applyBorder="1" applyAlignment="1" applyProtection="1"/>
    <xf numFmtId="0" fontId="17" fillId="0" borderId="6" xfId="0" applyFont="1" applyFill="1" applyBorder="1" applyAlignment="1" applyProtection="1">
      <alignment horizontal="center" vertical="center" wrapText="1"/>
    </xf>
    <xf numFmtId="0" fontId="18" fillId="0" borderId="20" xfId="0" applyFont="1" applyBorder="1" applyAlignment="1" applyProtection="1"/>
    <xf numFmtId="0" fontId="6" fillId="0" borderId="15" xfId="0" applyFont="1" applyBorder="1" applyAlignment="1" applyProtection="1">
      <alignment horizontal="center" vertical="center"/>
    </xf>
    <xf numFmtId="0" fontId="0" fillId="0" borderId="32" xfId="0" applyBorder="1" applyAlignment="1" applyProtection="1">
      <alignment horizontal="center" vertical="center"/>
    </xf>
    <xf numFmtId="168" fontId="10" fillId="0" borderId="15" xfId="2" applyNumberFormat="1" applyFont="1" applyFill="1" applyBorder="1" applyAlignment="1" applyProtection="1">
      <alignment horizontal="center" vertical="center"/>
    </xf>
    <xf numFmtId="0" fontId="10" fillId="0" borderId="27" xfId="0" applyFont="1" applyBorder="1" applyAlignment="1" applyProtection="1"/>
    <xf numFmtId="0" fontId="3" fillId="0" borderId="1" xfId="0" applyFont="1" applyFill="1" applyBorder="1" applyAlignment="1" applyProtection="1">
      <alignment vertical="top"/>
    </xf>
    <xf numFmtId="0" fontId="0" fillId="0" borderId="2" xfId="0" applyBorder="1" applyAlignment="1" applyProtection="1"/>
    <xf numFmtId="0" fontId="5" fillId="2" borderId="4" xfId="0" applyFont="1" applyFill="1" applyBorder="1" applyAlignment="1" applyProtection="1">
      <alignment vertical="center"/>
    </xf>
    <xf numFmtId="0" fontId="0" fillId="0" borderId="5" xfId="0" applyBorder="1" applyAlignment="1" applyProtection="1">
      <alignment vertical="center"/>
    </xf>
    <xf numFmtId="0" fontId="0" fillId="0" borderId="6" xfId="0" applyBorder="1" applyAlignment="1" applyProtection="1">
      <alignment vertical="center"/>
    </xf>
    <xf numFmtId="0" fontId="3" fillId="0" borderId="19" xfId="0" applyFont="1" applyBorder="1" applyAlignment="1" applyProtection="1">
      <alignment horizontal="left" vertical="center"/>
    </xf>
    <xf numFmtId="0" fontId="0" fillId="0" borderId="36" xfId="0" applyBorder="1" applyAlignment="1" applyProtection="1">
      <alignment horizontal="left" vertical="center"/>
    </xf>
    <xf numFmtId="0" fontId="0" fillId="0" borderId="26" xfId="0" applyBorder="1" applyAlignment="1" applyProtection="1">
      <alignment horizontal="left" vertical="center"/>
    </xf>
    <xf numFmtId="0" fontId="20" fillId="0" borderId="21" xfId="0" applyFont="1" applyBorder="1" applyAlignment="1" applyProtection="1">
      <alignment horizontal="left" vertical="top" wrapText="1"/>
    </xf>
    <xf numFmtId="0" fontId="20" fillId="0" borderId="22" xfId="0" applyFont="1" applyBorder="1" applyAlignment="1" applyProtection="1">
      <alignment horizontal="left" vertical="top" wrapText="1"/>
    </xf>
    <xf numFmtId="0" fontId="2" fillId="2" borderId="1" xfId="0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left" vertical="top" wrapText="1"/>
    </xf>
    <xf numFmtId="0" fontId="0" fillId="0" borderId="0" xfId="0" applyAlignment="1" applyProtection="1">
      <alignment horizontal="left" vertical="top" wrapText="1"/>
    </xf>
    <xf numFmtId="0" fontId="6" fillId="0" borderId="5" xfId="0" applyFont="1" applyBorder="1" applyAlignment="1" applyProtection="1">
      <alignment vertical="top"/>
    </xf>
    <xf numFmtId="0" fontId="6" fillId="0" borderId="6" xfId="0" applyFont="1" applyBorder="1" applyAlignment="1" applyProtection="1">
      <alignment vertical="top"/>
    </xf>
    <xf numFmtId="0" fontId="9" fillId="0" borderId="0" xfId="0" applyFont="1" applyBorder="1" applyAlignment="1" applyProtection="1">
      <alignment horizontal="left" vertical="top"/>
    </xf>
    <xf numFmtId="0" fontId="6" fillId="0" borderId="0" xfId="0" applyFont="1" applyBorder="1" applyAlignment="1" applyProtection="1">
      <alignment horizontal="left" vertical="top"/>
    </xf>
    <xf numFmtId="0" fontId="6" fillId="0" borderId="20" xfId="0" applyFont="1" applyBorder="1" applyAlignment="1" applyProtection="1">
      <alignment horizontal="left" vertical="top"/>
    </xf>
    <xf numFmtId="0" fontId="6" fillId="0" borderId="5" xfId="0" applyFont="1" applyBorder="1" applyAlignment="1" applyProtection="1">
      <alignment horizontal="left" vertical="top" wrapText="1"/>
    </xf>
    <xf numFmtId="0" fontId="0" fillId="0" borderId="6" xfId="0" applyBorder="1" applyAlignment="1" applyProtection="1">
      <alignment wrapText="1"/>
    </xf>
  </cellXfs>
  <cellStyles count="27">
    <cellStyle name="Incorreto" xfId="3" xr:uid="{6C0CE532-AA45-464F-A931-C2C79D0C4E63}"/>
    <cellStyle name="Moeda 2" xfId="4" xr:uid="{6357C94E-49C6-4A7F-BDD8-A711A0399BB5}"/>
    <cellStyle name="Moeda 2 2" xfId="5" xr:uid="{C7BF98D2-7C34-4B72-8C39-D28009070452}"/>
    <cellStyle name="Moeda 3" xfId="6" xr:uid="{157A6480-7F16-4D31-A1B3-E6777B6E91D8}"/>
    <cellStyle name="Moeda 3 2" xfId="7" xr:uid="{5E28FCD8-EBC7-4126-A443-6E404182C2BB}"/>
    <cellStyle name="Moeda 3 3" xfId="8" xr:uid="{9BC94C9C-5193-4AF6-9BA8-18DA62EF4F34}"/>
    <cellStyle name="Moeda 4" xfId="9" xr:uid="{B6088E13-4830-4426-95FC-E755DDB22A8C}"/>
    <cellStyle name="Neutra" xfId="10" xr:uid="{F12F817C-04B7-4991-8B2D-4BCEF6EF4977}"/>
    <cellStyle name="Normal" xfId="0" builtinId="0"/>
    <cellStyle name="Normal 2" xfId="12" xr:uid="{7606331F-428F-4453-8C04-71CE39ACCD73}"/>
    <cellStyle name="Normal 3" xfId="13" xr:uid="{5BD287FA-6F4A-4685-87C6-7EB16821E12B}"/>
    <cellStyle name="Normal 3 2" xfId="14" xr:uid="{0FEE23EE-8A1C-4C4B-A9FD-8808480ED192}"/>
    <cellStyle name="Normal 3 2 2" xfId="15" xr:uid="{60228482-A4DA-4236-BA17-B91286A8A3AA}"/>
    <cellStyle name="Normal 3 2 3" xfId="16" xr:uid="{583995DA-7482-41CB-A5E2-38EC5B26C0E0}"/>
    <cellStyle name="Normal 3 3" xfId="17" xr:uid="{D392D5CC-93AD-43F4-93B8-4D4AE291B785}"/>
    <cellStyle name="Normal 3 4" xfId="18" xr:uid="{5A4ADEAC-A38A-4159-8F64-DE6A381CD37A}"/>
    <cellStyle name="Normal_PLANILHA - RN" xfId="11" xr:uid="{18BA15A5-D426-4B6E-8BAF-630CF92FFD79}"/>
    <cellStyle name="Porcentagem" xfId="2" builtinId="5"/>
    <cellStyle name="Porcentagem 2" xfId="19" xr:uid="{1B25916B-D3D1-43A0-A846-0B87FA31A75E}"/>
    <cellStyle name="Porcentagem 2 2" xfId="20" xr:uid="{BF3B4513-953D-4EAA-AC78-47809ED8A3E9}"/>
    <cellStyle name="Porcentagem 2 3" xfId="21" xr:uid="{3EA44E09-BCD7-4458-9951-F1040A4C18BB}"/>
    <cellStyle name="Vírgula" xfId="1" builtinId="3"/>
    <cellStyle name="Vírgula 2" xfId="22" xr:uid="{D9A56625-5C4F-4A04-81C2-4AC2491D4F0D}"/>
    <cellStyle name="Vírgula 2 2" xfId="23" xr:uid="{C5EF0CC0-C69D-4C43-8B60-74F4DB9EDEBB}"/>
    <cellStyle name="Vírgula 2 3" xfId="24" xr:uid="{2432CC22-2BC4-42F3-BAD4-F3F717818E86}"/>
    <cellStyle name="Vírgula 3" xfId="25" xr:uid="{35909D57-2910-4F36-B860-6CBD82BC0FC1}"/>
    <cellStyle name="Vírgula 4" xfId="26" xr:uid="{EC5EBF5E-9160-4387-9444-6881EF826916}"/>
  </cellStyles>
  <dxfs count="4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2" tint="-0.499984740745262"/>
  </sheetPr>
  <dimension ref="A1:S93"/>
  <sheetViews>
    <sheetView zoomScale="80" zoomScaleNormal="80" workbookViewId="0">
      <selection activeCell="B11" sqref="B11"/>
    </sheetView>
  </sheetViews>
  <sheetFormatPr defaultColWidth="9.109375" defaultRowHeight="17.399999999999999" x14ac:dyDescent="0.3"/>
  <cols>
    <col min="1" max="1" width="22.109375" style="115" customWidth="1"/>
    <col min="2" max="2" width="18.33203125" style="116" bestFit="1" customWidth="1"/>
    <col min="3" max="3" width="23.33203125" style="116" customWidth="1"/>
    <col min="4" max="4" width="26.44140625" style="116" bestFit="1" customWidth="1"/>
    <col min="5" max="5" width="18.88671875" style="117" customWidth="1"/>
    <col min="6" max="6" width="20.109375" style="117" customWidth="1"/>
    <col min="7" max="7" width="19.33203125" style="117" customWidth="1"/>
    <col min="8" max="8" width="15.5546875" style="117" customWidth="1"/>
    <col min="9" max="9" width="13.5546875" style="117" customWidth="1"/>
    <col min="10" max="10" width="9.109375" style="117"/>
    <col min="11" max="11" width="15.44140625" style="117" customWidth="1"/>
    <col min="12" max="12" width="29.44140625" style="117" hidden="1" customWidth="1"/>
    <col min="13" max="13" width="9.44140625" style="117" hidden="1" customWidth="1"/>
    <col min="14" max="14" width="8" style="117" hidden="1" customWidth="1"/>
    <col min="15" max="15" width="15.44140625" style="117" hidden="1" customWidth="1"/>
    <col min="16" max="16" width="15.88671875" style="117" hidden="1" customWidth="1"/>
    <col min="17" max="17" width="17.6640625" style="117" hidden="1" customWidth="1"/>
    <col min="18" max="18" width="13.33203125" style="117" hidden="1" customWidth="1"/>
    <col min="19" max="19" width="13.44140625" style="117" hidden="1" customWidth="1"/>
    <col min="20" max="16384" width="9.109375" style="117"/>
  </cols>
  <sheetData>
    <row r="1" spans="1:19" s="108" customFormat="1" ht="14.4" x14ac:dyDescent="0.3">
      <c r="A1" s="217" t="s">
        <v>93</v>
      </c>
      <c r="B1" s="215" t="s">
        <v>94</v>
      </c>
      <c r="C1" s="215" t="s">
        <v>95</v>
      </c>
      <c r="D1" s="215" t="s">
        <v>96</v>
      </c>
      <c r="M1" s="109">
        <f>YEAR(A3)</f>
        <v>2021</v>
      </c>
      <c r="N1" s="109">
        <f>M1+1</f>
        <v>2022</v>
      </c>
      <c r="O1" s="109">
        <f>N1+1</f>
        <v>2023</v>
      </c>
      <c r="P1" s="109">
        <f>O1+1</f>
        <v>2024</v>
      </c>
      <c r="Q1" s="109">
        <f>P1+1</f>
        <v>2025</v>
      </c>
      <c r="R1" s="109">
        <f>Q1+1</f>
        <v>2026</v>
      </c>
      <c r="S1" s="110" t="s">
        <v>97</v>
      </c>
    </row>
    <row r="2" spans="1:19" s="108" customFormat="1" ht="35.4" customHeight="1" x14ac:dyDescent="0.3">
      <c r="A2" s="218"/>
      <c r="B2" s="216"/>
      <c r="C2" s="216"/>
      <c r="D2" s="216"/>
      <c r="L2" s="108" t="s">
        <v>98</v>
      </c>
      <c r="M2" s="110">
        <f t="shared" ref="M2:R2" si="0">DATE(M1,1,1)</f>
        <v>44197</v>
      </c>
      <c r="N2" s="110">
        <f t="shared" si="0"/>
        <v>44562</v>
      </c>
      <c r="O2" s="110">
        <f t="shared" si="0"/>
        <v>44927</v>
      </c>
      <c r="P2" s="110">
        <f t="shared" si="0"/>
        <v>45292</v>
      </c>
      <c r="Q2" s="110">
        <f t="shared" si="0"/>
        <v>45658</v>
      </c>
      <c r="R2" s="110">
        <f t="shared" si="0"/>
        <v>46023</v>
      </c>
      <c r="S2" s="110">
        <f>M2</f>
        <v>44197</v>
      </c>
    </row>
    <row r="3" spans="1:19" s="108" customFormat="1" ht="37.5" customHeight="1" thickBot="1" x14ac:dyDescent="0.35">
      <c r="A3" s="111">
        <v>44228</v>
      </c>
      <c r="B3" s="112">
        <v>44592</v>
      </c>
      <c r="C3" s="113">
        <f>ROUND(NETWORKDAYS.INTL(A3,B3,11,S2:S91)/12,0)</f>
        <v>25</v>
      </c>
      <c r="D3" s="114">
        <f>ROUND(DAYS360(A3,B3)/12-C3,0)</f>
        <v>5</v>
      </c>
      <c r="L3" s="108" t="s">
        <v>99</v>
      </c>
      <c r="M3" s="110">
        <f t="shared" ref="M3:R3" si="1">DATE(M1,4,21)</f>
        <v>44307</v>
      </c>
      <c r="N3" s="110">
        <f t="shared" si="1"/>
        <v>44672</v>
      </c>
      <c r="O3" s="110">
        <f t="shared" si="1"/>
        <v>45037</v>
      </c>
      <c r="P3" s="110">
        <f t="shared" si="1"/>
        <v>45403</v>
      </c>
      <c r="Q3" s="110">
        <f t="shared" si="1"/>
        <v>45768</v>
      </c>
      <c r="R3" s="110">
        <f t="shared" si="1"/>
        <v>46133</v>
      </c>
      <c r="S3" s="110">
        <f t="shared" ref="S3:S16" si="2">M3</f>
        <v>44307</v>
      </c>
    </row>
    <row r="4" spans="1:19" x14ac:dyDescent="0.3">
      <c r="L4" s="108" t="s">
        <v>109</v>
      </c>
      <c r="M4" s="110">
        <f t="shared" ref="M4:R4" si="3">DATE(M1,5,1)</f>
        <v>44317</v>
      </c>
      <c r="N4" s="110">
        <f t="shared" si="3"/>
        <v>44682</v>
      </c>
      <c r="O4" s="110">
        <f t="shared" si="3"/>
        <v>45047</v>
      </c>
      <c r="P4" s="110">
        <f t="shared" si="3"/>
        <v>45413</v>
      </c>
      <c r="Q4" s="110">
        <f t="shared" si="3"/>
        <v>45778</v>
      </c>
      <c r="R4" s="110">
        <f t="shared" si="3"/>
        <v>46143</v>
      </c>
      <c r="S4" s="110">
        <f t="shared" si="2"/>
        <v>44317</v>
      </c>
    </row>
    <row r="5" spans="1:19" ht="14.4" x14ac:dyDescent="0.3">
      <c r="A5" s="212"/>
      <c r="B5" s="117"/>
      <c r="C5" s="117"/>
      <c r="D5" s="117"/>
      <c r="L5" s="108" t="s">
        <v>110</v>
      </c>
      <c r="M5" s="110">
        <f t="shared" ref="M5:R5" si="4">DATE(M1,9,7)</f>
        <v>44446</v>
      </c>
      <c r="N5" s="110">
        <f t="shared" si="4"/>
        <v>44811</v>
      </c>
      <c r="O5" s="110">
        <f t="shared" si="4"/>
        <v>45176</v>
      </c>
      <c r="P5" s="110">
        <f t="shared" si="4"/>
        <v>45542</v>
      </c>
      <c r="Q5" s="110">
        <f t="shared" si="4"/>
        <v>45907</v>
      </c>
      <c r="R5" s="110">
        <f t="shared" si="4"/>
        <v>46272</v>
      </c>
      <c r="S5" s="110">
        <f t="shared" si="2"/>
        <v>44446</v>
      </c>
    </row>
    <row r="6" spans="1:19" ht="14.4" x14ac:dyDescent="0.3">
      <c r="A6" s="117"/>
      <c r="B6" s="117"/>
      <c r="C6" s="117"/>
      <c r="D6" s="117"/>
      <c r="L6" s="108" t="s">
        <v>111</v>
      </c>
      <c r="M6" s="110">
        <f t="shared" ref="M6:R6" si="5">DATE(M1,10,12)</f>
        <v>44481</v>
      </c>
      <c r="N6" s="110">
        <f t="shared" si="5"/>
        <v>44846</v>
      </c>
      <c r="O6" s="110">
        <f t="shared" si="5"/>
        <v>45211</v>
      </c>
      <c r="P6" s="110">
        <f t="shared" si="5"/>
        <v>45577</v>
      </c>
      <c r="Q6" s="110">
        <f t="shared" si="5"/>
        <v>45942</v>
      </c>
      <c r="R6" s="110">
        <f t="shared" si="5"/>
        <v>46307</v>
      </c>
      <c r="S6" s="110">
        <f>M6</f>
        <v>44481</v>
      </c>
    </row>
    <row r="7" spans="1:19" ht="14.4" x14ac:dyDescent="0.3">
      <c r="A7" s="117"/>
      <c r="B7" s="117"/>
      <c r="C7" s="117"/>
      <c r="D7" s="117"/>
      <c r="L7" s="108" t="s">
        <v>112</v>
      </c>
      <c r="M7" s="110">
        <f t="shared" ref="M7:R7" si="6">DATE(M1,11,2)</f>
        <v>44502</v>
      </c>
      <c r="N7" s="110">
        <f t="shared" si="6"/>
        <v>44867</v>
      </c>
      <c r="O7" s="110">
        <f t="shared" si="6"/>
        <v>45232</v>
      </c>
      <c r="P7" s="110">
        <f t="shared" si="6"/>
        <v>45598</v>
      </c>
      <c r="Q7" s="110">
        <f t="shared" si="6"/>
        <v>45963</v>
      </c>
      <c r="R7" s="110">
        <f t="shared" si="6"/>
        <v>46328</v>
      </c>
      <c r="S7" s="110">
        <f>M7</f>
        <v>44502</v>
      </c>
    </row>
    <row r="8" spans="1:19" ht="14.4" x14ac:dyDescent="0.3">
      <c r="A8" s="117"/>
      <c r="B8" s="117"/>
      <c r="C8" s="117"/>
      <c r="D8" s="117"/>
      <c r="L8" s="117" t="s">
        <v>113</v>
      </c>
      <c r="M8" s="131">
        <f t="shared" ref="M8:R8" si="7">DATE(M1,11,15)</f>
        <v>44515</v>
      </c>
      <c r="N8" s="131">
        <f t="shared" si="7"/>
        <v>44880</v>
      </c>
      <c r="O8" s="131">
        <f t="shared" si="7"/>
        <v>45245</v>
      </c>
      <c r="P8" s="131">
        <f t="shared" si="7"/>
        <v>45611</v>
      </c>
      <c r="Q8" s="131">
        <f t="shared" si="7"/>
        <v>45976</v>
      </c>
      <c r="R8" s="131">
        <f t="shared" si="7"/>
        <v>46341</v>
      </c>
      <c r="S8" s="110">
        <f>M8</f>
        <v>44515</v>
      </c>
    </row>
    <row r="9" spans="1:19" ht="14.4" x14ac:dyDescent="0.3">
      <c r="A9" s="117"/>
      <c r="B9" s="117"/>
      <c r="C9" s="117"/>
      <c r="D9" s="117"/>
      <c r="L9" s="117" t="s">
        <v>114</v>
      </c>
      <c r="M9" s="131">
        <f t="shared" ref="M9:R9" si="8">DATE(M1,12,25)</f>
        <v>44555</v>
      </c>
      <c r="N9" s="131">
        <f t="shared" si="8"/>
        <v>44920</v>
      </c>
      <c r="O9" s="131">
        <f t="shared" si="8"/>
        <v>45285</v>
      </c>
      <c r="P9" s="131">
        <f t="shared" si="8"/>
        <v>45651</v>
      </c>
      <c r="Q9" s="131">
        <f t="shared" si="8"/>
        <v>46016</v>
      </c>
      <c r="R9" s="131">
        <f t="shared" si="8"/>
        <v>46381</v>
      </c>
      <c r="S9" s="110">
        <f t="shared" si="2"/>
        <v>44555</v>
      </c>
    </row>
    <row r="10" spans="1:19" ht="14.4" x14ac:dyDescent="0.3">
      <c r="A10" s="117"/>
      <c r="B10" s="117"/>
      <c r="C10" s="117"/>
      <c r="D10" s="117"/>
      <c r="L10" s="117" t="s">
        <v>115</v>
      </c>
      <c r="M10" s="131">
        <f t="shared" ref="M10:R10" si="9">DATE(M1,12,24)</f>
        <v>44554</v>
      </c>
      <c r="N10" s="131">
        <f t="shared" si="9"/>
        <v>44919</v>
      </c>
      <c r="O10" s="131">
        <f t="shared" si="9"/>
        <v>45284</v>
      </c>
      <c r="P10" s="131">
        <f t="shared" si="9"/>
        <v>45650</v>
      </c>
      <c r="Q10" s="131">
        <f t="shared" si="9"/>
        <v>46015</v>
      </c>
      <c r="R10" s="131">
        <f t="shared" si="9"/>
        <v>46380</v>
      </c>
      <c r="S10" s="110">
        <f t="shared" si="2"/>
        <v>44554</v>
      </c>
    </row>
    <row r="11" spans="1:19" ht="14.4" x14ac:dyDescent="0.3">
      <c r="A11" s="117"/>
      <c r="B11" s="117"/>
      <c r="C11" s="117"/>
      <c r="D11" s="117"/>
      <c r="L11" s="117" t="s">
        <v>115</v>
      </c>
      <c r="M11" s="131">
        <f t="shared" ref="M11:R11" si="10">DATE(M1,12,31)</f>
        <v>44561</v>
      </c>
      <c r="N11" s="131">
        <f t="shared" si="10"/>
        <v>44926</v>
      </c>
      <c r="O11" s="131">
        <f t="shared" si="10"/>
        <v>45291</v>
      </c>
      <c r="P11" s="131">
        <f t="shared" si="10"/>
        <v>45657</v>
      </c>
      <c r="Q11" s="131">
        <f t="shared" si="10"/>
        <v>46022</v>
      </c>
      <c r="R11" s="131">
        <f t="shared" si="10"/>
        <v>46387</v>
      </c>
      <c r="S11" s="110">
        <f t="shared" si="2"/>
        <v>44561</v>
      </c>
    </row>
    <row r="12" spans="1:19" ht="14.4" x14ac:dyDescent="0.3">
      <c r="A12" s="117"/>
      <c r="B12" s="117"/>
      <c r="C12" s="117"/>
      <c r="D12" s="117"/>
      <c r="L12" s="117" t="s">
        <v>116</v>
      </c>
      <c r="M12" s="131">
        <f t="shared" ref="M12:R12" si="11">IF(M23=FALSE,M22-2,M23-2)</f>
        <v>44288</v>
      </c>
      <c r="N12" s="131">
        <f t="shared" si="11"/>
        <v>44666</v>
      </c>
      <c r="O12" s="131">
        <f t="shared" si="11"/>
        <v>45023</v>
      </c>
      <c r="P12" s="131">
        <f t="shared" si="11"/>
        <v>45380</v>
      </c>
      <c r="Q12" s="131">
        <f t="shared" si="11"/>
        <v>45765</v>
      </c>
      <c r="R12" s="131">
        <f t="shared" si="11"/>
        <v>46115</v>
      </c>
      <c r="S12" s="110">
        <f t="shared" si="2"/>
        <v>44288</v>
      </c>
    </row>
    <row r="13" spans="1:19" ht="14.4" x14ac:dyDescent="0.3">
      <c r="A13" s="117"/>
      <c r="B13" s="117"/>
      <c r="C13" s="117"/>
      <c r="D13" s="117"/>
      <c r="L13" s="117" t="s">
        <v>117</v>
      </c>
      <c r="M13" s="131">
        <f t="shared" ref="M13:R13" si="12">M12-45</f>
        <v>44243</v>
      </c>
      <c r="N13" s="131">
        <f t="shared" si="12"/>
        <v>44621</v>
      </c>
      <c r="O13" s="131">
        <f t="shared" si="12"/>
        <v>44978</v>
      </c>
      <c r="P13" s="131">
        <f t="shared" si="12"/>
        <v>45335</v>
      </c>
      <c r="Q13" s="131">
        <f t="shared" si="12"/>
        <v>45720</v>
      </c>
      <c r="R13" s="131">
        <f t="shared" si="12"/>
        <v>46070</v>
      </c>
      <c r="S13" s="110">
        <f t="shared" si="2"/>
        <v>44243</v>
      </c>
    </row>
    <row r="14" spans="1:19" ht="14.4" x14ac:dyDescent="0.3">
      <c r="A14" s="117"/>
      <c r="B14" s="117"/>
      <c r="C14" s="117"/>
      <c r="D14" s="117"/>
      <c r="L14" s="117" t="s">
        <v>118</v>
      </c>
      <c r="M14" s="131">
        <f t="shared" ref="M14:R14" si="13">M12+62</f>
        <v>44350</v>
      </c>
      <c r="N14" s="131">
        <f t="shared" si="13"/>
        <v>44728</v>
      </c>
      <c r="O14" s="131">
        <f t="shared" si="13"/>
        <v>45085</v>
      </c>
      <c r="P14" s="131">
        <f t="shared" si="13"/>
        <v>45442</v>
      </c>
      <c r="Q14" s="131">
        <f t="shared" si="13"/>
        <v>45827</v>
      </c>
      <c r="R14" s="131">
        <f t="shared" si="13"/>
        <v>46177</v>
      </c>
      <c r="S14" s="110">
        <f t="shared" si="2"/>
        <v>44350</v>
      </c>
    </row>
    <row r="15" spans="1:19" ht="14.4" x14ac:dyDescent="0.3">
      <c r="A15" s="117"/>
      <c r="B15" s="117"/>
      <c r="C15" s="117"/>
      <c r="D15" s="117"/>
      <c r="L15" s="117" t="s">
        <v>119</v>
      </c>
      <c r="M15" s="131">
        <f t="shared" ref="M15:R15" si="14">DATE(M1,8,15)</f>
        <v>44423</v>
      </c>
      <c r="N15" s="131">
        <f t="shared" si="14"/>
        <v>44788</v>
      </c>
      <c r="O15" s="131">
        <f t="shared" si="14"/>
        <v>45153</v>
      </c>
      <c r="P15" s="131">
        <f t="shared" si="14"/>
        <v>45519</v>
      </c>
      <c r="Q15" s="131">
        <f t="shared" si="14"/>
        <v>45884</v>
      </c>
      <c r="R15" s="131">
        <f t="shared" si="14"/>
        <v>46249</v>
      </c>
      <c r="S15" s="110">
        <f t="shared" si="2"/>
        <v>44423</v>
      </c>
    </row>
    <row r="16" spans="1:19" ht="14.4" x14ac:dyDescent="0.3">
      <c r="A16" s="117"/>
      <c r="B16" s="117"/>
      <c r="C16" s="117"/>
      <c r="D16" s="117"/>
      <c r="L16" s="117" t="s">
        <v>120</v>
      </c>
      <c r="M16" s="131">
        <f t="shared" ref="M16:R16" si="15">DATE(M1,12,8)</f>
        <v>44538</v>
      </c>
      <c r="N16" s="131">
        <f t="shared" si="15"/>
        <v>44903</v>
      </c>
      <c r="O16" s="131">
        <f t="shared" si="15"/>
        <v>45268</v>
      </c>
      <c r="P16" s="131">
        <f t="shared" si="15"/>
        <v>45634</v>
      </c>
      <c r="Q16" s="131">
        <f t="shared" si="15"/>
        <v>45999</v>
      </c>
      <c r="R16" s="131">
        <f t="shared" si="15"/>
        <v>46364</v>
      </c>
      <c r="S16" s="110">
        <f t="shared" si="2"/>
        <v>44538</v>
      </c>
    </row>
    <row r="17" spans="1:19" ht="14.4" x14ac:dyDescent="0.3">
      <c r="A17" s="117"/>
      <c r="B17" s="117"/>
      <c r="C17" s="117"/>
      <c r="D17" s="117"/>
      <c r="M17" s="132">
        <f t="shared" ref="M17:R17" si="16">MOD(M1,4)</f>
        <v>1</v>
      </c>
      <c r="N17" s="132">
        <f t="shared" si="16"/>
        <v>2</v>
      </c>
      <c r="O17" s="132">
        <f t="shared" si="16"/>
        <v>3</v>
      </c>
      <c r="P17" s="132">
        <f t="shared" si="16"/>
        <v>0</v>
      </c>
      <c r="Q17" s="132">
        <f t="shared" si="16"/>
        <v>1</v>
      </c>
      <c r="R17" s="132">
        <f t="shared" si="16"/>
        <v>2</v>
      </c>
      <c r="S17" s="131">
        <f>N2</f>
        <v>44562</v>
      </c>
    </row>
    <row r="18" spans="1:19" ht="14.4" x14ac:dyDescent="0.3">
      <c r="A18" s="117"/>
      <c r="B18" s="117"/>
      <c r="C18" s="117"/>
      <c r="D18" s="117"/>
      <c r="M18" s="132">
        <f t="shared" ref="M18:R18" si="17">MOD(M1,7)</f>
        <v>5</v>
      </c>
      <c r="N18" s="132">
        <f t="shared" si="17"/>
        <v>6</v>
      </c>
      <c r="O18" s="132">
        <f t="shared" si="17"/>
        <v>0</v>
      </c>
      <c r="P18" s="132">
        <f t="shared" si="17"/>
        <v>1</v>
      </c>
      <c r="Q18" s="132">
        <f t="shared" si="17"/>
        <v>2</v>
      </c>
      <c r="R18" s="132">
        <f t="shared" si="17"/>
        <v>3</v>
      </c>
      <c r="S18" s="131">
        <f t="shared" ref="S18:S30" si="18">N3</f>
        <v>44672</v>
      </c>
    </row>
    <row r="19" spans="1:19" ht="14.4" x14ac:dyDescent="0.3">
      <c r="A19" s="117"/>
      <c r="B19" s="117"/>
      <c r="C19" s="117"/>
      <c r="D19" s="117"/>
      <c r="M19" s="132">
        <f t="shared" ref="M19:R19" si="19">MOD(M1,19)</f>
        <v>7</v>
      </c>
      <c r="N19" s="132">
        <f t="shared" si="19"/>
        <v>8</v>
      </c>
      <c r="O19" s="132">
        <f t="shared" si="19"/>
        <v>9</v>
      </c>
      <c r="P19" s="132">
        <f t="shared" si="19"/>
        <v>10</v>
      </c>
      <c r="Q19" s="132">
        <f t="shared" si="19"/>
        <v>11</v>
      </c>
      <c r="R19" s="132">
        <f t="shared" si="19"/>
        <v>12</v>
      </c>
      <c r="S19" s="131">
        <f>N4</f>
        <v>44682</v>
      </c>
    </row>
    <row r="20" spans="1:19" ht="14.4" x14ac:dyDescent="0.3">
      <c r="A20" s="117"/>
      <c r="B20" s="117"/>
      <c r="C20" s="117"/>
      <c r="D20" s="117"/>
      <c r="M20" s="132">
        <f t="shared" ref="M20:R20" si="20">MOD(19*M19+24,30)</f>
        <v>7</v>
      </c>
      <c r="N20" s="132">
        <f t="shared" si="20"/>
        <v>26</v>
      </c>
      <c r="O20" s="132">
        <f t="shared" si="20"/>
        <v>15</v>
      </c>
      <c r="P20" s="132">
        <f t="shared" si="20"/>
        <v>4</v>
      </c>
      <c r="Q20" s="132">
        <f t="shared" si="20"/>
        <v>23</v>
      </c>
      <c r="R20" s="132">
        <f t="shared" si="20"/>
        <v>12</v>
      </c>
      <c r="S20" s="131">
        <f>N5</f>
        <v>44811</v>
      </c>
    </row>
    <row r="21" spans="1:19" ht="14.4" x14ac:dyDescent="0.3">
      <c r="A21" s="117"/>
      <c r="B21" s="117"/>
      <c r="C21" s="117"/>
      <c r="D21" s="117"/>
      <c r="M21" s="132">
        <f t="shared" ref="M21:R21" si="21">MOD(2*M17+4*M18+6*M20+5,7)</f>
        <v>6</v>
      </c>
      <c r="N21" s="132">
        <f t="shared" si="21"/>
        <v>0</v>
      </c>
      <c r="O21" s="132">
        <f t="shared" si="21"/>
        <v>3</v>
      </c>
      <c r="P21" s="132">
        <f t="shared" si="21"/>
        <v>5</v>
      </c>
      <c r="Q21" s="132">
        <f t="shared" si="21"/>
        <v>6</v>
      </c>
      <c r="R21" s="132">
        <f t="shared" si="21"/>
        <v>2</v>
      </c>
      <c r="S21" s="131">
        <f>N6</f>
        <v>44846</v>
      </c>
    </row>
    <row r="22" spans="1:19" ht="14.4" x14ac:dyDescent="0.3">
      <c r="A22" s="117"/>
      <c r="B22" s="117"/>
      <c r="C22" s="117"/>
      <c r="D22" s="117"/>
      <c r="M22" s="132">
        <f t="shared" ref="M22:R22" si="22">22+M20+M21</f>
        <v>35</v>
      </c>
      <c r="N22" s="132">
        <f t="shared" si="22"/>
        <v>48</v>
      </c>
      <c r="O22" s="132">
        <f t="shared" si="22"/>
        <v>40</v>
      </c>
      <c r="P22" s="132">
        <f t="shared" si="22"/>
        <v>31</v>
      </c>
      <c r="Q22" s="132">
        <f t="shared" si="22"/>
        <v>51</v>
      </c>
      <c r="R22" s="132">
        <f t="shared" si="22"/>
        <v>36</v>
      </c>
      <c r="S22" s="131">
        <f>N7</f>
        <v>44867</v>
      </c>
    </row>
    <row r="23" spans="1:19" ht="14.4" x14ac:dyDescent="0.3">
      <c r="A23" s="117"/>
      <c r="B23" s="117"/>
      <c r="C23" s="117"/>
      <c r="D23" s="117"/>
      <c r="M23" s="131">
        <f t="shared" ref="M23:R23" si="23">IF(M22&gt;31,DATE(M1,4,M20+M21-9),DATE(M1,3,M22))</f>
        <v>44290</v>
      </c>
      <c r="N23" s="131">
        <f t="shared" si="23"/>
        <v>44668</v>
      </c>
      <c r="O23" s="131">
        <f t="shared" si="23"/>
        <v>45025</v>
      </c>
      <c r="P23" s="131">
        <f t="shared" si="23"/>
        <v>45382</v>
      </c>
      <c r="Q23" s="131">
        <f t="shared" si="23"/>
        <v>45767</v>
      </c>
      <c r="R23" s="131">
        <f t="shared" si="23"/>
        <v>46117</v>
      </c>
      <c r="S23" s="131">
        <f>N8</f>
        <v>44880</v>
      </c>
    </row>
    <row r="24" spans="1:19" ht="28.5" customHeight="1" x14ac:dyDescent="0.3">
      <c r="A24" s="117"/>
      <c r="B24" s="117"/>
      <c r="C24" s="117"/>
      <c r="D24" s="117"/>
      <c r="S24" s="131">
        <f t="shared" si="18"/>
        <v>44920</v>
      </c>
    </row>
    <row r="25" spans="1:19" ht="14.4" x14ac:dyDescent="0.3">
      <c r="A25" s="117"/>
      <c r="B25" s="117"/>
      <c r="C25" s="117"/>
      <c r="D25" s="117"/>
      <c r="S25" s="131">
        <f t="shared" si="18"/>
        <v>44919</v>
      </c>
    </row>
    <row r="26" spans="1:19" ht="14.4" x14ac:dyDescent="0.3">
      <c r="A26" s="117"/>
      <c r="B26" s="117"/>
      <c r="C26" s="117"/>
      <c r="D26" s="117"/>
      <c r="S26" s="131">
        <f t="shared" si="18"/>
        <v>44926</v>
      </c>
    </row>
    <row r="27" spans="1:19" ht="14.4" x14ac:dyDescent="0.3">
      <c r="A27" s="117"/>
      <c r="B27" s="117"/>
      <c r="C27" s="117"/>
      <c r="D27" s="117"/>
      <c r="S27" s="131">
        <f t="shared" si="18"/>
        <v>44666</v>
      </c>
    </row>
    <row r="28" spans="1:19" ht="14.4" x14ac:dyDescent="0.3">
      <c r="A28" s="117"/>
      <c r="B28" s="117"/>
      <c r="C28" s="117"/>
      <c r="D28" s="117"/>
      <c r="S28" s="131">
        <f t="shared" si="18"/>
        <v>44621</v>
      </c>
    </row>
    <row r="29" spans="1:19" ht="14.4" x14ac:dyDescent="0.3">
      <c r="A29" s="117"/>
      <c r="B29" s="117"/>
      <c r="C29" s="117"/>
      <c r="D29" s="117"/>
      <c r="S29" s="131">
        <f t="shared" si="18"/>
        <v>44728</v>
      </c>
    </row>
    <row r="30" spans="1:19" ht="14.4" x14ac:dyDescent="0.3">
      <c r="A30" s="117"/>
      <c r="B30" s="117"/>
      <c r="C30" s="117"/>
      <c r="D30" s="117"/>
      <c r="S30" s="131">
        <f t="shared" si="18"/>
        <v>44788</v>
      </c>
    </row>
    <row r="31" spans="1:19" ht="14.4" x14ac:dyDescent="0.3">
      <c r="A31" s="117"/>
      <c r="B31" s="117"/>
      <c r="C31" s="117"/>
      <c r="D31" s="117"/>
      <c r="S31" s="131">
        <f>N16</f>
        <v>44903</v>
      </c>
    </row>
    <row r="32" spans="1:19" x14ac:dyDescent="0.3">
      <c r="S32" s="131">
        <f t="shared" ref="S32:S38" si="24">O2</f>
        <v>44927</v>
      </c>
    </row>
    <row r="33" spans="2:19" x14ac:dyDescent="0.3">
      <c r="S33" s="131">
        <f t="shared" si="24"/>
        <v>45037</v>
      </c>
    </row>
    <row r="34" spans="2:19" x14ac:dyDescent="0.3">
      <c r="S34" s="131">
        <f t="shared" si="24"/>
        <v>45047</v>
      </c>
    </row>
    <row r="35" spans="2:19" x14ac:dyDescent="0.3">
      <c r="S35" s="131">
        <f t="shared" si="24"/>
        <v>45176</v>
      </c>
    </row>
    <row r="36" spans="2:19" x14ac:dyDescent="0.3">
      <c r="S36" s="131">
        <f t="shared" si="24"/>
        <v>45211</v>
      </c>
    </row>
    <row r="37" spans="2:19" x14ac:dyDescent="0.3">
      <c r="B37" s="115"/>
      <c r="C37" s="115"/>
      <c r="D37" s="115"/>
      <c r="E37" s="115"/>
      <c r="F37" s="115"/>
      <c r="S37" s="131">
        <f t="shared" si="24"/>
        <v>45232</v>
      </c>
    </row>
    <row r="38" spans="2:19" x14ac:dyDescent="0.3">
      <c r="B38" s="115"/>
      <c r="C38" s="115"/>
      <c r="D38" s="115"/>
      <c r="E38" s="115"/>
      <c r="F38" s="115"/>
      <c r="S38" s="131">
        <f t="shared" si="24"/>
        <v>45245</v>
      </c>
    </row>
    <row r="39" spans="2:19" x14ac:dyDescent="0.3">
      <c r="S39" s="131">
        <f t="shared" ref="S39:S45" si="25">O9</f>
        <v>45285</v>
      </c>
    </row>
    <row r="40" spans="2:19" x14ac:dyDescent="0.3">
      <c r="S40" s="131">
        <f t="shared" si="25"/>
        <v>45284</v>
      </c>
    </row>
    <row r="41" spans="2:19" x14ac:dyDescent="0.3">
      <c r="S41" s="131">
        <f t="shared" si="25"/>
        <v>45291</v>
      </c>
    </row>
    <row r="42" spans="2:19" x14ac:dyDescent="0.3">
      <c r="S42" s="131">
        <f t="shared" si="25"/>
        <v>45023</v>
      </c>
    </row>
    <row r="43" spans="2:19" x14ac:dyDescent="0.3">
      <c r="S43" s="131">
        <f t="shared" si="25"/>
        <v>44978</v>
      </c>
    </row>
    <row r="44" spans="2:19" x14ac:dyDescent="0.3">
      <c r="S44" s="131">
        <f t="shared" si="25"/>
        <v>45085</v>
      </c>
    </row>
    <row r="45" spans="2:19" x14ac:dyDescent="0.3">
      <c r="S45" s="131">
        <f t="shared" si="25"/>
        <v>45153</v>
      </c>
    </row>
    <row r="46" spans="2:19" x14ac:dyDescent="0.3">
      <c r="S46" s="131">
        <f>O16</f>
        <v>45268</v>
      </c>
    </row>
    <row r="47" spans="2:19" x14ac:dyDescent="0.3">
      <c r="S47" s="131">
        <f t="shared" ref="S47:S53" si="26">P2</f>
        <v>45292</v>
      </c>
    </row>
    <row r="48" spans="2:19" x14ac:dyDescent="0.3">
      <c r="S48" s="131">
        <f t="shared" si="26"/>
        <v>45403</v>
      </c>
    </row>
    <row r="49" spans="19:19" x14ac:dyDescent="0.3">
      <c r="S49" s="131">
        <f t="shared" si="26"/>
        <v>45413</v>
      </c>
    </row>
    <row r="50" spans="19:19" x14ac:dyDescent="0.3">
      <c r="S50" s="131">
        <f t="shared" si="26"/>
        <v>45542</v>
      </c>
    </row>
    <row r="51" spans="19:19" x14ac:dyDescent="0.3">
      <c r="S51" s="131">
        <f t="shared" si="26"/>
        <v>45577</v>
      </c>
    </row>
    <row r="52" spans="19:19" x14ac:dyDescent="0.3">
      <c r="S52" s="131">
        <f t="shared" si="26"/>
        <v>45598</v>
      </c>
    </row>
    <row r="53" spans="19:19" x14ac:dyDescent="0.3">
      <c r="S53" s="131">
        <f t="shared" si="26"/>
        <v>45611</v>
      </c>
    </row>
    <row r="54" spans="19:19" x14ac:dyDescent="0.3">
      <c r="S54" s="131">
        <f t="shared" ref="S54:S60" si="27">P9</f>
        <v>45651</v>
      </c>
    </row>
    <row r="55" spans="19:19" x14ac:dyDescent="0.3">
      <c r="S55" s="131">
        <f t="shared" si="27"/>
        <v>45650</v>
      </c>
    </row>
    <row r="56" spans="19:19" x14ac:dyDescent="0.3">
      <c r="S56" s="131">
        <f t="shared" si="27"/>
        <v>45657</v>
      </c>
    </row>
    <row r="57" spans="19:19" x14ac:dyDescent="0.3">
      <c r="S57" s="131">
        <f t="shared" si="27"/>
        <v>45380</v>
      </c>
    </row>
    <row r="58" spans="19:19" x14ac:dyDescent="0.3">
      <c r="S58" s="131">
        <f>P13</f>
        <v>45335</v>
      </c>
    </row>
    <row r="59" spans="19:19" x14ac:dyDescent="0.3">
      <c r="S59" s="131">
        <f t="shared" si="27"/>
        <v>45442</v>
      </c>
    </row>
    <row r="60" spans="19:19" x14ac:dyDescent="0.3">
      <c r="S60" s="131">
        <f t="shared" si="27"/>
        <v>45519</v>
      </c>
    </row>
    <row r="61" spans="19:19" x14ac:dyDescent="0.3">
      <c r="S61" s="131">
        <f>P16</f>
        <v>45634</v>
      </c>
    </row>
    <row r="62" spans="19:19" x14ac:dyDescent="0.3">
      <c r="S62" s="131">
        <f t="shared" ref="S62:S68" si="28">Q2</f>
        <v>45658</v>
      </c>
    </row>
    <row r="63" spans="19:19" x14ac:dyDescent="0.3">
      <c r="S63" s="131">
        <f t="shared" si="28"/>
        <v>45768</v>
      </c>
    </row>
    <row r="64" spans="19:19" x14ac:dyDescent="0.3">
      <c r="S64" s="131">
        <f t="shared" si="28"/>
        <v>45778</v>
      </c>
    </row>
    <row r="65" spans="19:19" x14ac:dyDescent="0.3">
      <c r="S65" s="131">
        <f t="shared" si="28"/>
        <v>45907</v>
      </c>
    </row>
    <row r="66" spans="19:19" x14ac:dyDescent="0.3">
      <c r="S66" s="131">
        <f t="shared" si="28"/>
        <v>45942</v>
      </c>
    </row>
    <row r="67" spans="19:19" x14ac:dyDescent="0.3">
      <c r="S67" s="131">
        <f t="shared" si="28"/>
        <v>45963</v>
      </c>
    </row>
    <row r="68" spans="19:19" x14ac:dyDescent="0.3">
      <c r="S68" s="131">
        <f t="shared" si="28"/>
        <v>45976</v>
      </c>
    </row>
    <row r="69" spans="19:19" x14ac:dyDescent="0.3">
      <c r="S69" s="131">
        <f t="shared" ref="S69:S75" si="29">Q9</f>
        <v>46016</v>
      </c>
    </row>
    <row r="70" spans="19:19" x14ac:dyDescent="0.3">
      <c r="S70" s="131">
        <f t="shared" si="29"/>
        <v>46015</v>
      </c>
    </row>
    <row r="71" spans="19:19" x14ac:dyDescent="0.3">
      <c r="S71" s="131">
        <f t="shared" si="29"/>
        <v>46022</v>
      </c>
    </row>
    <row r="72" spans="19:19" x14ac:dyDescent="0.3">
      <c r="S72" s="131">
        <f t="shared" si="29"/>
        <v>45765</v>
      </c>
    </row>
    <row r="73" spans="19:19" x14ac:dyDescent="0.3">
      <c r="S73" s="131">
        <f t="shared" si="29"/>
        <v>45720</v>
      </c>
    </row>
    <row r="74" spans="19:19" x14ac:dyDescent="0.3">
      <c r="S74" s="131">
        <f t="shared" si="29"/>
        <v>45827</v>
      </c>
    </row>
    <row r="75" spans="19:19" x14ac:dyDescent="0.3">
      <c r="S75" s="131">
        <f t="shared" si="29"/>
        <v>45884</v>
      </c>
    </row>
    <row r="76" spans="19:19" x14ac:dyDescent="0.3">
      <c r="S76" s="131">
        <f>Q16</f>
        <v>45999</v>
      </c>
    </row>
    <row r="77" spans="19:19" x14ac:dyDescent="0.3">
      <c r="S77" s="131">
        <f t="shared" ref="S77:S83" si="30">R2</f>
        <v>46023</v>
      </c>
    </row>
    <row r="78" spans="19:19" x14ac:dyDescent="0.3">
      <c r="S78" s="131">
        <f t="shared" si="30"/>
        <v>46133</v>
      </c>
    </row>
    <row r="79" spans="19:19" x14ac:dyDescent="0.3">
      <c r="S79" s="131">
        <f t="shared" si="30"/>
        <v>46143</v>
      </c>
    </row>
    <row r="80" spans="19:19" x14ac:dyDescent="0.3">
      <c r="S80" s="131">
        <f t="shared" si="30"/>
        <v>46272</v>
      </c>
    </row>
    <row r="81" spans="19:19" x14ac:dyDescent="0.3">
      <c r="S81" s="131">
        <f t="shared" si="30"/>
        <v>46307</v>
      </c>
    </row>
    <row r="82" spans="19:19" x14ac:dyDescent="0.3">
      <c r="S82" s="131">
        <f t="shared" si="30"/>
        <v>46328</v>
      </c>
    </row>
    <row r="83" spans="19:19" x14ac:dyDescent="0.3">
      <c r="S83" s="131">
        <f t="shared" si="30"/>
        <v>46341</v>
      </c>
    </row>
    <row r="84" spans="19:19" x14ac:dyDescent="0.3">
      <c r="S84" s="131">
        <f t="shared" ref="S84:S90" si="31">R9</f>
        <v>46381</v>
      </c>
    </row>
    <row r="85" spans="19:19" x14ac:dyDescent="0.3">
      <c r="S85" s="131">
        <f t="shared" si="31"/>
        <v>46380</v>
      </c>
    </row>
    <row r="86" spans="19:19" x14ac:dyDescent="0.3">
      <c r="S86" s="131">
        <f t="shared" si="31"/>
        <v>46387</v>
      </c>
    </row>
    <row r="87" spans="19:19" x14ac:dyDescent="0.3">
      <c r="S87" s="131">
        <f t="shared" si="31"/>
        <v>46115</v>
      </c>
    </row>
    <row r="88" spans="19:19" x14ac:dyDescent="0.3">
      <c r="S88" s="131">
        <f t="shared" si="31"/>
        <v>46070</v>
      </c>
    </row>
    <row r="89" spans="19:19" x14ac:dyDescent="0.3">
      <c r="S89" s="131">
        <f t="shared" si="31"/>
        <v>46177</v>
      </c>
    </row>
    <row r="90" spans="19:19" x14ac:dyDescent="0.3">
      <c r="S90" s="131">
        <f t="shared" si="31"/>
        <v>46249</v>
      </c>
    </row>
    <row r="91" spans="19:19" x14ac:dyDescent="0.3">
      <c r="S91" s="131">
        <f>R16</f>
        <v>46364</v>
      </c>
    </row>
    <row r="92" spans="19:19" x14ac:dyDescent="0.3">
      <c r="S92" s="131"/>
    </row>
    <row r="93" spans="19:19" x14ac:dyDescent="0.3">
      <c r="S93" s="131"/>
    </row>
  </sheetData>
  <sheetProtection algorithmName="SHA-512" hashValue="QQ+cR5XUChT67aqAcxRlPKTFz3APU6lA3Qhl+eoOiZoBu48KRHNTWrwNy2nuYVsgDPE7B0hfjhC0Max1ne7/BQ==" saltValue="oLedQRQ4rs9gnpCcaw//eg==" spinCount="100000" sheet="1" objects="1" scenarios="1"/>
  <mergeCells count="4">
    <mergeCell ref="D1:D2"/>
    <mergeCell ref="A1:A2"/>
    <mergeCell ref="B1:B2"/>
    <mergeCell ref="C1:C2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I103"/>
  <sheetViews>
    <sheetView tabSelected="1" zoomScale="90" zoomScaleNormal="90" workbookViewId="0">
      <selection activeCell="D4" sqref="D4"/>
    </sheetView>
  </sheetViews>
  <sheetFormatPr defaultColWidth="9.109375" defaultRowHeight="13.2" x14ac:dyDescent="0.25"/>
  <cols>
    <col min="1" max="1" width="68.5546875" style="1" customWidth="1"/>
    <col min="2" max="2" width="16.44140625" style="1" customWidth="1"/>
    <col min="3" max="3" width="56" style="1" customWidth="1"/>
    <col min="4" max="4" width="14.109375" style="106" bestFit="1" customWidth="1"/>
    <col min="5" max="5" width="57.88671875" style="1" customWidth="1"/>
    <col min="6" max="16384" width="9.109375" style="1"/>
  </cols>
  <sheetData>
    <row r="1" spans="1:5" ht="19.2" thickBot="1" x14ac:dyDescent="0.3">
      <c r="A1" s="233" t="s">
        <v>182</v>
      </c>
      <c r="B1" s="234"/>
      <c r="C1" s="234"/>
      <c r="D1" s="234"/>
      <c r="E1" s="235"/>
    </row>
    <row r="2" spans="1:5" ht="19.2" thickBot="1" x14ac:dyDescent="0.3">
      <c r="A2" s="2"/>
      <c r="B2" s="3"/>
      <c r="C2" s="3"/>
      <c r="D2" s="4"/>
      <c r="E2" s="5"/>
    </row>
    <row r="3" spans="1:5" ht="17.25" customHeight="1" x14ac:dyDescent="0.25">
      <c r="A3" s="6" t="s">
        <v>188</v>
      </c>
      <c r="B3" s="7"/>
      <c r="C3" s="7" t="s">
        <v>4</v>
      </c>
      <c r="D3" s="7" t="s">
        <v>0</v>
      </c>
      <c r="E3" s="7" t="s">
        <v>1</v>
      </c>
    </row>
    <row r="4" spans="1:5" ht="27" customHeight="1" x14ac:dyDescent="0.3">
      <c r="A4" s="202" t="s">
        <v>202</v>
      </c>
      <c r="B4" s="17"/>
      <c r="C4" s="17" t="s">
        <v>2</v>
      </c>
      <c r="D4" s="210"/>
      <c r="E4" s="213" t="s">
        <v>245</v>
      </c>
    </row>
    <row r="5" spans="1:5" ht="17.25" customHeight="1" thickBot="1" x14ac:dyDescent="0.3">
      <c r="A5" s="176" t="s">
        <v>201</v>
      </c>
      <c r="B5" s="211"/>
      <c r="C5" s="177" t="s">
        <v>185</v>
      </c>
      <c r="D5" s="178">
        <f>B5*D4</f>
        <v>0</v>
      </c>
      <c r="E5" s="179"/>
    </row>
    <row r="6" spans="1:5" ht="17.25" customHeight="1" x14ac:dyDescent="0.25">
      <c r="A6" s="118" t="s">
        <v>246</v>
      </c>
      <c r="B6" s="11"/>
      <c r="C6" s="11"/>
      <c r="D6" s="12"/>
      <c r="E6" s="11"/>
    </row>
    <row r="7" spans="1:5" ht="16.5" customHeight="1" thickBot="1" x14ac:dyDescent="0.3">
      <c r="A7" s="24" t="s">
        <v>147</v>
      </c>
      <c r="B7" s="25" t="s">
        <v>1</v>
      </c>
      <c r="C7" s="26" t="s">
        <v>7</v>
      </c>
      <c r="D7" s="27">
        <f>D5</f>
        <v>0</v>
      </c>
      <c r="E7" s="28" t="s">
        <v>1</v>
      </c>
    </row>
    <row r="8" spans="1:5" ht="13.5" customHeight="1" thickBot="1" x14ac:dyDescent="0.3">
      <c r="A8" s="29"/>
      <c r="B8" s="30"/>
      <c r="C8" s="31"/>
      <c r="D8" s="12"/>
      <c r="E8" s="11"/>
    </row>
    <row r="9" spans="1:5" ht="16.5" customHeight="1" thickBot="1" x14ac:dyDescent="0.3">
      <c r="A9" s="225" t="s">
        <v>148</v>
      </c>
      <c r="B9" s="226"/>
      <c r="C9" s="226"/>
      <c r="D9" s="226"/>
      <c r="E9" s="227"/>
    </row>
    <row r="10" spans="1:5" ht="16.5" customHeight="1" x14ac:dyDescent="0.25">
      <c r="A10" s="13" t="s">
        <v>149</v>
      </c>
      <c r="B10" s="7" t="s">
        <v>10</v>
      </c>
      <c r="C10" s="7" t="s">
        <v>4</v>
      </c>
      <c r="D10" s="14" t="s">
        <v>0</v>
      </c>
      <c r="E10" s="15" t="s">
        <v>5</v>
      </c>
    </row>
    <row r="11" spans="1:5" ht="16.5" customHeight="1" x14ac:dyDescent="0.25">
      <c r="A11" s="16" t="s">
        <v>11</v>
      </c>
      <c r="B11" s="32">
        <v>0.2</v>
      </c>
      <c r="C11" s="17" t="s">
        <v>161</v>
      </c>
      <c r="D11" s="33">
        <f>TRUNC(B11*$D$7,2)</f>
        <v>0</v>
      </c>
      <c r="E11" s="61" t="s">
        <v>13</v>
      </c>
    </row>
    <row r="12" spans="1:5" ht="16.5" customHeight="1" x14ac:dyDescent="0.25">
      <c r="A12" s="16" t="s">
        <v>14</v>
      </c>
      <c r="B12" s="32">
        <v>0.08</v>
      </c>
      <c r="C12" s="17" t="s">
        <v>162</v>
      </c>
      <c r="D12" s="33">
        <f t="shared" ref="D12:D18" si="0">TRUNC(B12*$D$7,2)</f>
        <v>0</v>
      </c>
      <c r="E12" s="34" t="s">
        <v>16</v>
      </c>
    </row>
    <row r="13" spans="1:5" ht="17.25" customHeight="1" x14ac:dyDescent="0.25">
      <c r="A13" s="16" t="s">
        <v>17</v>
      </c>
      <c r="B13" s="32">
        <v>1.4999999999999999E-2</v>
      </c>
      <c r="C13" s="17" t="s">
        <v>163</v>
      </c>
      <c r="D13" s="33">
        <f t="shared" si="0"/>
        <v>0</v>
      </c>
      <c r="E13" s="34" t="s">
        <v>19</v>
      </c>
    </row>
    <row r="14" spans="1:5" ht="17.25" customHeight="1" x14ac:dyDescent="0.25">
      <c r="A14" s="16" t="s">
        <v>20</v>
      </c>
      <c r="B14" s="32">
        <v>0.01</v>
      </c>
      <c r="C14" s="17" t="s">
        <v>164</v>
      </c>
      <c r="D14" s="33">
        <f t="shared" si="0"/>
        <v>0</v>
      </c>
      <c r="E14" s="34" t="s">
        <v>22</v>
      </c>
    </row>
    <row r="15" spans="1:5" ht="17.25" customHeight="1" x14ac:dyDescent="0.25">
      <c r="A15" s="16" t="s">
        <v>23</v>
      </c>
      <c r="B15" s="32">
        <v>2E-3</v>
      </c>
      <c r="C15" s="17" t="s">
        <v>165</v>
      </c>
      <c r="D15" s="33">
        <f t="shared" si="0"/>
        <v>0</v>
      </c>
      <c r="E15" s="34" t="s">
        <v>25</v>
      </c>
    </row>
    <row r="16" spans="1:5" ht="17.25" customHeight="1" x14ac:dyDescent="0.25">
      <c r="A16" s="16" t="s">
        <v>26</v>
      </c>
      <c r="B16" s="32">
        <v>6.0000000000000001E-3</v>
      </c>
      <c r="C16" s="17" t="s">
        <v>166</v>
      </c>
      <c r="D16" s="33">
        <f t="shared" si="0"/>
        <v>0</v>
      </c>
      <c r="E16" s="34" t="s">
        <v>28</v>
      </c>
    </row>
    <row r="17" spans="1:5" ht="17.25" customHeight="1" x14ac:dyDescent="0.25">
      <c r="A17" s="16" t="s">
        <v>29</v>
      </c>
      <c r="B17" s="32">
        <v>2.5000000000000001E-2</v>
      </c>
      <c r="C17" s="17" t="s">
        <v>167</v>
      </c>
      <c r="D17" s="33">
        <f t="shared" si="0"/>
        <v>0</v>
      </c>
      <c r="E17" s="34" t="s">
        <v>31</v>
      </c>
    </row>
    <row r="18" spans="1:5" ht="17.25" customHeight="1" x14ac:dyDescent="0.25">
      <c r="A18" s="35" t="s">
        <v>32</v>
      </c>
      <c r="B18" s="141"/>
      <c r="C18" s="17" t="s">
        <v>168</v>
      </c>
      <c r="D18" s="33">
        <f t="shared" si="0"/>
        <v>0</v>
      </c>
      <c r="E18" s="36" t="s">
        <v>34</v>
      </c>
    </row>
    <row r="19" spans="1:5" ht="17.25" customHeight="1" thickBot="1" x14ac:dyDescent="0.3">
      <c r="A19" s="24" t="s">
        <v>150</v>
      </c>
      <c r="B19" s="37">
        <f>SUM(B11:B18)</f>
        <v>0.33800000000000008</v>
      </c>
      <c r="C19" s="25" t="s">
        <v>7</v>
      </c>
      <c r="D19" s="38">
        <f>SUM(D11:D18)</f>
        <v>0</v>
      </c>
      <c r="E19" s="28" t="s">
        <v>1</v>
      </c>
    </row>
    <row r="20" spans="1:5" ht="13.8" thickBot="1" x14ac:dyDescent="0.3">
      <c r="A20" s="10"/>
      <c r="B20" s="11"/>
      <c r="C20" s="11"/>
      <c r="D20" s="12"/>
      <c r="E20" s="39"/>
    </row>
    <row r="21" spans="1:5" ht="15.75" customHeight="1" x14ac:dyDescent="0.25">
      <c r="A21" s="13" t="s">
        <v>151</v>
      </c>
      <c r="B21" s="7" t="s">
        <v>10</v>
      </c>
      <c r="C21" s="7" t="s">
        <v>4</v>
      </c>
      <c r="D21" s="14" t="s">
        <v>0</v>
      </c>
      <c r="E21" s="15" t="s">
        <v>5</v>
      </c>
    </row>
    <row r="22" spans="1:5" ht="15.75" customHeight="1" x14ac:dyDescent="0.25">
      <c r="A22" s="16" t="s">
        <v>37</v>
      </c>
      <c r="B22" s="32">
        <f>(1/12)</f>
        <v>8.3333333333333329E-2</v>
      </c>
      <c r="C22" s="17" t="s">
        <v>169</v>
      </c>
      <c r="D22" s="33">
        <f>TRUNC(B22*$D$7,2)</f>
        <v>0</v>
      </c>
      <c r="E22" s="34" t="s">
        <v>39</v>
      </c>
    </row>
    <row r="23" spans="1:5" ht="15.75" customHeight="1" x14ac:dyDescent="0.25">
      <c r="A23" s="20" t="s">
        <v>40</v>
      </c>
      <c r="B23" s="40">
        <f>B19*B22</f>
        <v>2.8166666666666673E-2</v>
      </c>
      <c r="C23" s="77" t="s">
        <v>170</v>
      </c>
      <c r="D23" s="33">
        <f>TRUNC(B23*$D$7,2)</f>
        <v>0</v>
      </c>
      <c r="E23" s="41" t="s">
        <v>42</v>
      </c>
    </row>
    <row r="24" spans="1:5" ht="16.5" customHeight="1" thickBot="1" x14ac:dyDescent="0.3">
      <c r="A24" s="24" t="s">
        <v>152</v>
      </c>
      <c r="B24" s="37">
        <f>SUM(B22:B23)</f>
        <v>0.1115</v>
      </c>
      <c r="C24" s="25" t="s">
        <v>7</v>
      </c>
      <c r="D24" s="38">
        <f>SUM(D22:D23)</f>
        <v>0</v>
      </c>
      <c r="E24" s="28" t="s">
        <v>1</v>
      </c>
    </row>
    <row r="25" spans="1:5" ht="13.8" thickBot="1" x14ac:dyDescent="0.3">
      <c r="A25" s="42"/>
      <c r="B25" s="43"/>
      <c r="C25" s="43"/>
      <c r="D25" s="44"/>
      <c r="E25" s="45"/>
    </row>
    <row r="26" spans="1:5" ht="17.25" customHeight="1" x14ac:dyDescent="0.25">
      <c r="A26" s="13" t="s">
        <v>153</v>
      </c>
      <c r="B26" s="7" t="s">
        <v>10</v>
      </c>
      <c r="C26" s="7" t="s">
        <v>4</v>
      </c>
      <c r="D26" s="14" t="s">
        <v>0</v>
      </c>
      <c r="E26" s="15" t="s">
        <v>5</v>
      </c>
    </row>
    <row r="27" spans="1:5" ht="16.5" customHeight="1" x14ac:dyDescent="0.25">
      <c r="A27" s="16" t="s">
        <v>44</v>
      </c>
      <c r="B27" s="32">
        <f>1/12</f>
        <v>8.3333333333333329E-2</v>
      </c>
      <c r="C27" s="17" t="s">
        <v>169</v>
      </c>
      <c r="D27" s="33">
        <f t="shared" ref="D27:D34" si="1">TRUNC(B27*$D$7,2)</f>
        <v>0</v>
      </c>
      <c r="E27" s="34" t="s">
        <v>45</v>
      </c>
    </row>
    <row r="28" spans="1:5" ht="16.5" customHeight="1" x14ac:dyDescent="0.25">
      <c r="A28" s="16" t="s">
        <v>46</v>
      </c>
      <c r="B28" s="46">
        <f>(1/3)/12</f>
        <v>2.7777777777777776E-2</v>
      </c>
      <c r="C28" s="17" t="s">
        <v>171</v>
      </c>
      <c r="D28" s="33">
        <f t="shared" si="1"/>
        <v>0</v>
      </c>
      <c r="E28" s="34" t="s">
        <v>45</v>
      </c>
    </row>
    <row r="29" spans="1:5" ht="16.5" customHeight="1" x14ac:dyDescent="0.25">
      <c r="A29" s="16" t="s">
        <v>47</v>
      </c>
      <c r="B29" s="32">
        <f>IF(ISERR(D29/D7),0,D29/D7)</f>
        <v>0</v>
      </c>
      <c r="C29" s="120" t="s">
        <v>172</v>
      </c>
      <c r="D29" s="33">
        <f>TRUNC((D77-D60-D62-(D71+D72))/12,2)</f>
        <v>0</v>
      </c>
      <c r="E29" s="34" t="s">
        <v>48</v>
      </c>
    </row>
    <row r="30" spans="1:5" ht="16.5" customHeight="1" x14ac:dyDescent="0.25">
      <c r="A30" s="16" t="s">
        <v>49</v>
      </c>
      <c r="B30" s="32">
        <f>(5.96/30)/12</f>
        <v>1.6555555555555556E-2</v>
      </c>
      <c r="C30" s="17" t="s">
        <v>173</v>
      </c>
      <c r="D30" s="33">
        <f t="shared" si="1"/>
        <v>0</v>
      </c>
      <c r="E30" s="34" t="s">
        <v>50</v>
      </c>
    </row>
    <row r="31" spans="1:5" ht="16.5" customHeight="1" x14ac:dyDescent="0.25">
      <c r="A31" s="16" t="s">
        <v>51</v>
      </c>
      <c r="B31" s="32">
        <f>((15/30)/12)*0.00084</f>
        <v>3.4999999999999997E-5</v>
      </c>
      <c r="C31" s="47" t="s">
        <v>233</v>
      </c>
      <c r="D31" s="33">
        <f t="shared" si="1"/>
        <v>0</v>
      </c>
      <c r="E31" s="34" t="s">
        <v>52</v>
      </c>
    </row>
    <row r="32" spans="1:5" ht="16.5" customHeight="1" x14ac:dyDescent="0.25">
      <c r="A32" s="16" t="s">
        <v>53</v>
      </c>
      <c r="B32" s="32">
        <f>(2.96/30)/12</f>
        <v>8.2222222222222228E-3</v>
      </c>
      <c r="C32" s="48" t="s">
        <v>174</v>
      </c>
      <c r="D32" s="33">
        <f t="shared" si="1"/>
        <v>0</v>
      </c>
      <c r="E32" s="34" t="s">
        <v>54</v>
      </c>
    </row>
    <row r="33" spans="1:5" ht="16.5" customHeight="1" x14ac:dyDescent="0.25">
      <c r="A33" s="16" t="s">
        <v>55</v>
      </c>
      <c r="B33" s="32">
        <f>(5/30)/12*0.609*0.01253</f>
        <v>1.0598291666666666E-4</v>
      </c>
      <c r="C33" s="21" t="s">
        <v>232</v>
      </c>
      <c r="D33" s="33">
        <f t="shared" si="1"/>
        <v>0</v>
      </c>
      <c r="E33" s="34" t="s">
        <v>56</v>
      </c>
    </row>
    <row r="34" spans="1:5" ht="16.5" customHeight="1" x14ac:dyDescent="0.25">
      <c r="A34" s="16" t="s">
        <v>128</v>
      </c>
      <c r="B34" s="32">
        <f>(7/30)/12</f>
        <v>1.9444444444444445E-2</v>
      </c>
      <c r="C34" s="21" t="s">
        <v>184</v>
      </c>
      <c r="D34" s="33">
        <f t="shared" si="1"/>
        <v>0</v>
      </c>
      <c r="E34" s="34" t="s">
        <v>127</v>
      </c>
    </row>
    <row r="35" spans="1:5" s="53" customFormat="1" ht="34.200000000000003" x14ac:dyDescent="0.25">
      <c r="A35" s="49" t="s">
        <v>129</v>
      </c>
      <c r="B35" s="50">
        <f>IF(ISERR(D35/D7),0,D35/D7)</f>
        <v>0</v>
      </c>
      <c r="C35" s="51" t="s">
        <v>235</v>
      </c>
      <c r="D35" s="33">
        <f>TRUNC(((D7*(1+(1/3))/12)+D77-D60-D62-(D71+D72))*(4/12)*0.583*0.01253,2)</f>
        <v>0</v>
      </c>
      <c r="E35" s="34" t="s">
        <v>45</v>
      </c>
    </row>
    <row r="36" spans="1:5" ht="29.25" customHeight="1" x14ac:dyDescent="0.25">
      <c r="A36" s="35" t="s">
        <v>130</v>
      </c>
      <c r="B36" s="32">
        <f>IF(ISERR(B19*SUM(B27:B34)),"-",B19*SUM(B27:B34))</f>
        <v>5.2550318892500003E-2</v>
      </c>
      <c r="C36" s="54" t="s">
        <v>175</v>
      </c>
      <c r="D36" s="33">
        <f>TRUNC(B36*$D$7,2)</f>
        <v>0</v>
      </c>
      <c r="E36" s="41" t="s">
        <v>42</v>
      </c>
    </row>
    <row r="37" spans="1:5" s="53" customFormat="1" ht="27.75" customHeight="1" x14ac:dyDescent="0.25">
      <c r="A37" s="55" t="s">
        <v>131</v>
      </c>
      <c r="B37" s="50">
        <f>IF(ISERR(B19*B35),0,B19*B35)</f>
        <v>0</v>
      </c>
      <c r="C37" s="56" t="s">
        <v>176</v>
      </c>
      <c r="D37" s="33">
        <f>TRUNC(B37*$D$7,2)</f>
        <v>0</v>
      </c>
      <c r="E37" s="57" t="s">
        <v>57</v>
      </c>
    </row>
    <row r="38" spans="1:5" ht="16.5" customHeight="1" thickBot="1" x14ac:dyDescent="0.3">
      <c r="A38" s="24" t="s">
        <v>154</v>
      </c>
      <c r="B38" s="37">
        <f>IF(ISERR(SUM(B27:B37)),"-",SUM(B27:B37))</f>
        <v>0.20802463514249997</v>
      </c>
      <c r="C38" s="25" t="s">
        <v>7</v>
      </c>
      <c r="D38" s="58">
        <f>IF(ISERR(SUM(D27:D37)),"-", SUM(D27:D37))</f>
        <v>0</v>
      </c>
      <c r="E38" s="28" t="s">
        <v>1</v>
      </c>
    </row>
    <row r="39" spans="1:5" ht="27" customHeight="1" x14ac:dyDescent="0.3">
      <c r="A39" s="59" t="s">
        <v>58</v>
      </c>
      <c r="B39" s="59" t="s">
        <v>59</v>
      </c>
      <c r="D39" s="243" t="s">
        <v>234</v>
      </c>
      <c r="E39" s="244"/>
    </row>
    <row r="40" spans="1:5" ht="30" customHeight="1" x14ac:dyDescent="0.3">
      <c r="A40" s="191" t="s">
        <v>60</v>
      </c>
      <c r="B40" s="236" t="s">
        <v>231</v>
      </c>
      <c r="C40" s="237"/>
      <c r="D40" s="145"/>
      <c r="E40" s="146"/>
    </row>
    <row r="41" spans="1:5" ht="16.5" customHeight="1" thickBot="1" x14ac:dyDescent="0.3">
      <c r="A41" s="173" t="s">
        <v>230</v>
      </c>
      <c r="B41" s="62" t="s">
        <v>183</v>
      </c>
      <c r="C41" s="60"/>
      <c r="D41" s="191"/>
      <c r="E41" s="192"/>
    </row>
    <row r="42" spans="1:5" ht="16.5" customHeight="1" x14ac:dyDescent="0.25">
      <c r="A42" s="13" t="s">
        <v>155</v>
      </c>
      <c r="B42" s="7" t="s">
        <v>10</v>
      </c>
      <c r="C42" s="7" t="s">
        <v>4</v>
      </c>
      <c r="D42" s="14" t="s">
        <v>0</v>
      </c>
      <c r="E42" s="15" t="s">
        <v>5</v>
      </c>
    </row>
    <row r="43" spans="1:5" s="53" customFormat="1" ht="16.5" customHeight="1" x14ac:dyDescent="0.25">
      <c r="A43" s="63" t="s">
        <v>132</v>
      </c>
      <c r="B43" s="64">
        <f>(1/12)*0.05</f>
        <v>4.1666666666666666E-3</v>
      </c>
      <c r="C43" s="143" t="s">
        <v>159</v>
      </c>
      <c r="D43" s="65">
        <f>TRUNC(B43*$D$7,2)</f>
        <v>0</v>
      </c>
      <c r="E43" s="66" t="s">
        <v>61</v>
      </c>
    </row>
    <row r="44" spans="1:5" s="53" customFormat="1" ht="16.5" customHeight="1" x14ac:dyDescent="0.25">
      <c r="A44" s="63" t="s">
        <v>133</v>
      </c>
      <c r="B44" s="67">
        <f>B43*0.08</f>
        <v>3.3333333333333332E-4</v>
      </c>
      <c r="C44" s="144" t="s">
        <v>137</v>
      </c>
      <c r="D44" s="65">
        <f>TRUNC(B44*$D$7,2)</f>
        <v>0</v>
      </c>
      <c r="E44" s="66" t="s">
        <v>62</v>
      </c>
    </row>
    <row r="45" spans="1:5" s="53" customFormat="1" ht="16.5" customHeight="1" x14ac:dyDescent="0.25">
      <c r="A45" s="49" t="s">
        <v>134</v>
      </c>
      <c r="B45" s="68">
        <f>0.5*0.08</f>
        <v>0.04</v>
      </c>
      <c r="C45" s="56" t="s">
        <v>160</v>
      </c>
      <c r="D45" s="65">
        <f>TRUNC(B45*$D$7,2)</f>
        <v>0</v>
      </c>
      <c r="E45" s="66" t="s">
        <v>63</v>
      </c>
    </row>
    <row r="46" spans="1:5" ht="17.25" customHeight="1" thickBot="1" x14ac:dyDescent="0.3">
      <c r="A46" s="24" t="s">
        <v>156</v>
      </c>
      <c r="B46" s="37">
        <f>SUM(B43:B45)</f>
        <v>4.4499999999999998E-2</v>
      </c>
      <c r="C46" s="25" t="s">
        <v>7</v>
      </c>
      <c r="D46" s="38">
        <f>SUM(D43:D45)</f>
        <v>0</v>
      </c>
      <c r="E46" s="28" t="s">
        <v>1</v>
      </c>
    </row>
    <row r="47" spans="1:5" x14ac:dyDescent="0.25">
      <c r="A47" s="69" t="s">
        <v>136</v>
      </c>
      <c r="B47" s="238"/>
      <c r="C47" s="238"/>
      <c r="D47" s="238"/>
      <c r="E47" s="239"/>
    </row>
    <row r="48" spans="1:5" x14ac:dyDescent="0.25">
      <c r="A48" s="70" t="s">
        <v>135</v>
      </c>
      <c r="B48" s="240"/>
      <c r="C48" s="241"/>
      <c r="D48" s="241"/>
      <c r="E48" s="242"/>
    </row>
    <row r="49" spans="1:9" x14ac:dyDescent="0.25">
      <c r="A49" s="11"/>
      <c r="B49" s="11"/>
      <c r="C49" s="11"/>
      <c r="D49" s="76"/>
      <c r="E49" s="11"/>
    </row>
    <row r="50" spans="1:9" x14ac:dyDescent="0.25">
      <c r="A50" s="193" t="s">
        <v>237</v>
      </c>
      <c r="B50" s="194" t="s">
        <v>10</v>
      </c>
      <c r="C50" s="194" t="s">
        <v>4</v>
      </c>
      <c r="D50" s="195" t="s">
        <v>0</v>
      </c>
      <c r="E50" s="194" t="s">
        <v>5</v>
      </c>
      <c r="F50" s="203"/>
      <c r="G50" s="203"/>
      <c r="H50" s="203"/>
      <c r="I50" s="203"/>
    </row>
    <row r="51" spans="1:9" ht="22.8" x14ac:dyDescent="0.25">
      <c r="A51" s="196" t="s">
        <v>236</v>
      </c>
      <c r="B51" s="50">
        <f>SUM(B27,B30,B31,B32,B33,B34,B35)*(B22+B27+B12)</f>
        <v>3.1498479489814817E-2</v>
      </c>
      <c r="C51" s="204" t="s">
        <v>239</v>
      </c>
      <c r="D51" s="18">
        <f>TRUNC(B51*$D$7,2)</f>
        <v>0</v>
      </c>
      <c r="E51" s="205"/>
      <c r="F51" s="203"/>
      <c r="G51" s="203"/>
      <c r="H51" s="203"/>
      <c r="I51" s="203"/>
    </row>
    <row r="52" spans="1:9" x14ac:dyDescent="0.25">
      <c r="A52" s="197"/>
      <c r="B52" s="64"/>
      <c r="C52" s="206"/>
      <c r="D52" s="206"/>
      <c r="E52" s="207"/>
      <c r="F52" s="203"/>
      <c r="G52" s="203"/>
      <c r="H52" s="203"/>
      <c r="I52" s="203"/>
    </row>
    <row r="53" spans="1:9" ht="17.25" customHeight="1" thickBot="1" x14ac:dyDescent="0.3">
      <c r="A53" s="24" t="s">
        <v>240</v>
      </c>
      <c r="B53" s="37">
        <f>B51</f>
        <v>3.1498479489814817E-2</v>
      </c>
      <c r="C53" s="25" t="s">
        <v>7</v>
      </c>
      <c r="D53" s="38">
        <f>D51</f>
        <v>0</v>
      </c>
      <c r="E53" s="28" t="s">
        <v>1</v>
      </c>
    </row>
    <row r="54" spans="1:9" ht="13.8" thickBot="1" x14ac:dyDescent="0.3">
      <c r="A54" s="197"/>
      <c r="B54" s="64"/>
      <c r="C54" s="206"/>
      <c r="D54" s="206"/>
      <c r="E54" s="207"/>
      <c r="F54" s="203"/>
      <c r="G54" s="203"/>
      <c r="H54" s="203"/>
      <c r="I54" s="203"/>
    </row>
    <row r="55" spans="1:9" ht="13.8" thickBot="1" x14ac:dyDescent="0.3">
      <c r="A55" s="198" t="s">
        <v>6</v>
      </c>
      <c r="B55" s="72">
        <f>SUM(B51,B46,B38,B24,B19)</f>
        <v>0.7335231146323149</v>
      </c>
      <c r="C55" s="201" t="s">
        <v>238</v>
      </c>
      <c r="D55" s="74">
        <f>SUM(D19,D24,D38,D46,D53)</f>
        <v>0</v>
      </c>
      <c r="E55" s="199" t="s">
        <v>1</v>
      </c>
      <c r="F55" s="203"/>
      <c r="G55" s="203"/>
      <c r="H55" s="203"/>
      <c r="I55" s="203"/>
    </row>
    <row r="56" spans="1:9" ht="13.8" thickBot="1" x14ac:dyDescent="0.3">
      <c r="A56" s="200"/>
      <c r="B56" s="200"/>
      <c r="C56" s="200"/>
      <c r="D56" s="76"/>
      <c r="E56" s="200"/>
      <c r="F56" s="203"/>
      <c r="G56" s="203"/>
      <c r="H56" s="203"/>
      <c r="I56" s="203"/>
    </row>
    <row r="57" spans="1:9" ht="16.5" customHeight="1" thickBot="1" x14ac:dyDescent="0.3">
      <c r="A57" s="225" t="s">
        <v>157</v>
      </c>
      <c r="B57" s="226"/>
      <c r="C57" s="226"/>
      <c r="D57" s="226"/>
      <c r="E57" s="227"/>
    </row>
    <row r="58" spans="1:9" ht="16.5" customHeight="1" x14ac:dyDescent="0.25">
      <c r="A58" s="13" t="s">
        <v>158</v>
      </c>
      <c r="B58" s="136" t="s">
        <v>0</v>
      </c>
      <c r="C58" s="126" t="s">
        <v>4</v>
      </c>
      <c r="D58" s="14" t="s">
        <v>0</v>
      </c>
      <c r="E58" s="15" t="s">
        <v>5</v>
      </c>
    </row>
    <row r="59" spans="1:9" ht="16.5" customHeight="1" x14ac:dyDescent="0.25">
      <c r="A59" s="49" t="s">
        <v>186</v>
      </c>
      <c r="B59" s="123"/>
      <c r="C59" s="142" t="s">
        <v>1</v>
      </c>
      <c r="D59" s="124">
        <f t="shared" ref="D59:D64" si="2">TRUNC(B59,2)</f>
        <v>0</v>
      </c>
      <c r="E59" s="228" t="s">
        <v>65</v>
      </c>
    </row>
    <row r="60" spans="1:9" ht="16.5" customHeight="1" x14ac:dyDescent="0.25">
      <c r="A60" s="63" t="s">
        <v>187</v>
      </c>
      <c r="B60" s="123"/>
      <c r="C60" s="142" t="s">
        <v>1</v>
      </c>
      <c r="D60" s="124">
        <f t="shared" si="2"/>
        <v>0</v>
      </c>
      <c r="E60" s="229"/>
    </row>
    <row r="61" spans="1:9" ht="16.5" customHeight="1" x14ac:dyDescent="0.25">
      <c r="A61" s="190" t="s">
        <v>229</v>
      </c>
      <c r="B61" s="123"/>
      <c r="C61" s="142" t="s">
        <v>1</v>
      </c>
      <c r="D61" s="124">
        <f t="shared" si="2"/>
        <v>0</v>
      </c>
      <c r="E61" s="229"/>
    </row>
    <row r="62" spans="1:9" ht="16.5" customHeight="1" x14ac:dyDescent="0.25">
      <c r="A62" s="63" t="s">
        <v>138</v>
      </c>
      <c r="B62" s="123"/>
      <c r="C62" s="142" t="s">
        <v>1</v>
      </c>
      <c r="D62" s="124">
        <f t="shared" si="2"/>
        <v>0</v>
      </c>
      <c r="E62" s="229"/>
    </row>
    <row r="63" spans="1:9" ht="16.5" customHeight="1" x14ac:dyDescent="0.25">
      <c r="A63" s="63" t="s">
        <v>126</v>
      </c>
      <c r="B63" s="123"/>
      <c r="C63" s="142" t="s">
        <v>1</v>
      </c>
      <c r="D63" s="124">
        <f t="shared" si="2"/>
        <v>0</v>
      </c>
      <c r="E63" s="230"/>
    </row>
    <row r="64" spans="1:9" ht="32.25" customHeight="1" thickBot="1" x14ac:dyDescent="0.3">
      <c r="A64" s="78" t="s">
        <v>222</v>
      </c>
      <c r="B64" s="123"/>
      <c r="C64" s="180" t="s">
        <v>72</v>
      </c>
      <c r="D64" s="125">
        <f t="shared" si="2"/>
        <v>0</v>
      </c>
      <c r="E64" s="174" t="s">
        <v>66</v>
      </c>
    </row>
    <row r="65" spans="1:9" ht="16.5" customHeight="1" thickBot="1" x14ac:dyDescent="0.3">
      <c r="A65" s="71" t="s">
        <v>35</v>
      </c>
      <c r="B65" s="137"/>
      <c r="C65" s="127" t="s">
        <v>7</v>
      </c>
      <c r="D65" s="74">
        <f>SUM(D59:D64)</f>
        <v>0</v>
      </c>
      <c r="E65" s="75" t="s">
        <v>1</v>
      </c>
    </row>
    <row r="66" spans="1:9" ht="20.25" customHeight="1" x14ac:dyDescent="0.25">
      <c r="A66" s="128" t="s">
        <v>198</v>
      </c>
      <c r="B66" s="129"/>
      <c r="C66" s="183" t="s">
        <v>190</v>
      </c>
      <c r="D66" s="129"/>
      <c r="E66" s="130"/>
    </row>
    <row r="67" spans="1:9" ht="20.25" customHeight="1" thickBot="1" x14ac:dyDescent="0.3">
      <c r="A67" s="181" t="s">
        <v>189</v>
      </c>
      <c r="B67" s="182"/>
      <c r="C67" s="231" t="s">
        <v>228</v>
      </c>
      <c r="D67" s="231"/>
      <c r="E67" s="232"/>
    </row>
    <row r="68" spans="1:9" ht="20.25" customHeight="1" thickBot="1" x14ac:dyDescent="0.3">
      <c r="A68" s="181" t="s">
        <v>226</v>
      </c>
      <c r="B68" s="188"/>
      <c r="C68" s="189"/>
      <c r="D68" s="189"/>
      <c r="E68" s="208"/>
    </row>
    <row r="69" spans="1:9" ht="17.25" customHeight="1" x14ac:dyDescent="0.25">
      <c r="A69" s="13" t="s">
        <v>197</v>
      </c>
      <c r="B69" s="138" t="s">
        <v>0</v>
      </c>
      <c r="C69" s="7" t="s">
        <v>4</v>
      </c>
      <c r="D69" s="14" t="s">
        <v>0</v>
      </c>
      <c r="E69" s="15" t="s">
        <v>5</v>
      </c>
    </row>
    <row r="70" spans="1:9" ht="16.5" customHeight="1" x14ac:dyDescent="0.25">
      <c r="A70" s="16" t="s">
        <v>67</v>
      </c>
      <c r="B70" s="79"/>
      <c r="C70" s="142" t="s">
        <v>1</v>
      </c>
      <c r="D70" s="33">
        <f>TRUNC(B70,2)</f>
        <v>0</v>
      </c>
      <c r="E70" s="147" t="s">
        <v>1</v>
      </c>
    </row>
    <row r="71" spans="1:9" ht="16.5" customHeight="1" x14ac:dyDescent="0.25">
      <c r="A71" s="16" t="s">
        <v>68</v>
      </c>
      <c r="B71" s="79"/>
      <c r="C71" s="142" t="s">
        <v>1</v>
      </c>
      <c r="D71" s="33">
        <f>TRUNC(B71,2)</f>
        <v>0</v>
      </c>
      <c r="E71" s="23" t="s">
        <v>139</v>
      </c>
    </row>
    <row r="72" spans="1:9" ht="17.25" customHeight="1" x14ac:dyDescent="0.25">
      <c r="A72" s="16" t="s">
        <v>69</v>
      </c>
      <c r="B72" s="139">
        <f>D72</f>
        <v>0</v>
      </c>
      <c r="C72" s="17" t="s">
        <v>70</v>
      </c>
      <c r="D72" s="33">
        <f>IF(D71&gt;=TRUNC(0.06*D7,2),TRUNC(-0.06*D7,2),-D71)</f>
        <v>0</v>
      </c>
      <c r="E72" s="41" t="s">
        <v>71</v>
      </c>
    </row>
    <row r="73" spans="1:9" ht="31.5" customHeight="1" x14ac:dyDescent="0.25">
      <c r="A73" s="20" t="s">
        <v>200</v>
      </c>
      <c r="B73" s="79"/>
      <c r="C73" s="77" t="s">
        <v>72</v>
      </c>
      <c r="D73" s="22">
        <f>TRUNC(B73,2)</f>
        <v>0</v>
      </c>
      <c r="E73" s="80" t="s">
        <v>73</v>
      </c>
    </row>
    <row r="74" spans="1:9" ht="17.25" customHeight="1" thickBot="1" x14ac:dyDescent="0.3">
      <c r="A74" s="24" t="s">
        <v>43</v>
      </c>
      <c r="B74" s="140"/>
      <c r="C74" s="25" t="s">
        <v>7</v>
      </c>
      <c r="D74" s="38">
        <f>SUM(D70:D73)</f>
        <v>0</v>
      </c>
      <c r="E74" s="28" t="s">
        <v>1</v>
      </c>
    </row>
    <row r="75" spans="1:9" ht="18.75" customHeight="1" x14ac:dyDescent="0.25">
      <c r="A75" s="187" t="s">
        <v>199</v>
      </c>
      <c r="B75" s="62"/>
      <c r="C75" s="62"/>
      <c r="D75" s="62"/>
      <c r="E75" s="81"/>
      <c r="F75" s="60"/>
      <c r="G75" s="60"/>
      <c r="H75" s="60"/>
      <c r="I75" s="60"/>
    </row>
    <row r="76" spans="1:9" ht="18.75" customHeight="1" thickBot="1" x14ac:dyDescent="0.3">
      <c r="A76" s="82" t="s">
        <v>227</v>
      </c>
      <c r="B76" s="62"/>
      <c r="C76" s="62"/>
      <c r="D76" s="62"/>
      <c r="E76" s="81"/>
      <c r="F76" s="60"/>
      <c r="G76" s="60"/>
      <c r="H76" s="60"/>
      <c r="I76" s="60"/>
    </row>
    <row r="77" spans="1:9" ht="17.25" customHeight="1" thickBot="1" x14ac:dyDescent="0.3">
      <c r="A77" s="83" t="s">
        <v>64</v>
      </c>
      <c r="B77" s="137"/>
      <c r="C77" s="73" t="s">
        <v>105</v>
      </c>
      <c r="D77" s="74">
        <f>SUM(D65,D74)</f>
        <v>0</v>
      </c>
      <c r="E77" s="75" t="s">
        <v>1</v>
      </c>
    </row>
    <row r="78" spans="1:9" ht="13.8" thickBot="1" x14ac:dyDescent="0.3">
      <c r="A78" s="84"/>
      <c r="B78" s="85"/>
      <c r="C78" s="86"/>
      <c r="D78" s="87"/>
      <c r="E78" s="87"/>
    </row>
    <row r="79" spans="1:9" ht="26.25" customHeight="1" thickBot="1" x14ac:dyDescent="0.3">
      <c r="A79" s="88" t="s">
        <v>75</v>
      </c>
      <c r="B79" s="89" t="s">
        <v>1</v>
      </c>
      <c r="C79" s="89" t="s">
        <v>177</v>
      </c>
      <c r="D79" s="90">
        <f>SUM(D7,D55,D77)</f>
        <v>0</v>
      </c>
      <c r="E79" s="75" t="s">
        <v>1</v>
      </c>
    </row>
    <row r="80" spans="1:9" ht="13.8" thickBot="1" x14ac:dyDescent="0.3">
      <c r="A80" s="91"/>
      <c r="B80" s="92"/>
      <c r="C80" s="92"/>
      <c r="D80" s="93"/>
      <c r="E80" s="94"/>
    </row>
    <row r="81" spans="1:5" ht="17.25" customHeight="1" x14ac:dyDescent="0.25">
      <c r="A81" s="13" t="s">
        <v>178</v>
      </c>
      <c r="B81" s="7" t="s">
        <v>10</v>
      </c>
      <c r="C81" s="7" t="s">
        <v>4</v>
      </c>
      <c r="D81" s="14" t="s">
        <v>0</v>
      </c>
      <c r="E81" s="15" t="s">
        <v>5</v>
      </c>
    </row>
    <row r="82" spans="1:5" ht="17.25" customHeight="1" x14ac:dyDescent="0.25">
      <c r="A82" s="16" t="s">
        <v>78</v>
      </c>
      <c r="B82" s="141"/>
      <c r="C82" s="219" t="s">
        <v>79</v>
      </c>
      <c r="D82" s="95">
        <f>TRUNC(B82*D79,2)</f>
        <v>0</v>
      </c>
      <c r="E82" s="96" t="s">
        <v>1</v>
      </c>
    </row>
    <row r="83" spans="1:5" ht="30.75" customHeight="1" x14ac:dyDescent="0.25">
      <c r="A83" s="16" t="s">
        <v>101</v>
      </c>
      <c r="B83" s="141"/>
      <c r="C83" s="220"/>
      <c r="D83" s="95">
        <f>TRUNC(B83*D79,2)</f>
        <v>0</v>
      </c>
      <c r="E83" s="175" t="s">
        <v>1</v>
      </c>
    </row>
    <row r="84" spans="1:5" ht="16.5" customHeight="1" thickBot="1" x14ac:dyDescent="0.3">
      <c r="A84" s="24" t="s">
        <v>74</v>
      </c>
      <c r="B84" s="37">
        <f>SUM(B82:B83)</f>
        <v>0</v>
      </c>
      <c r="C84" s="25" t="s">
        <v>7</v>
      </c>
      <c r="D84" s="27">
        <f>SUM(D82:D83)</f>
        <v>0</v>
      </c>
      <c r="E84" s="28" t="s">
        <v>1</v>
      </c>
    </row>
    <row r="85" spans="1:5" ht="24" customHeight="1" thickBot="1" x14ac:dyDescent="0.35">
      <c r="A85" s="223" t="s">
        <v>102</v>
      </c>
      <c r="B85" s="224"/>
      <c r="C85" s="224"/>
      <c r="D85" s="224"/>
      <c r="E85" s="224"/>
    </row>
    <row r="86" spans="1:5" ht="16.5" customHeight="1" x14ac:dyDescent="0.25">
      <c r="A86" s="98" t="s">
        <v>179</v>
      </c>
      <c r="B86" s="7" t="s">
        <v>10</v>
      </c>
      <c r="C86" s="7" t="s">
        <v>4</v>
      </c>
      <c r="D86" s="14" t="s">
        <v>0</v>
      </c>
      <c r="E86" s="15" t="s">
        <v>5</v>
      </c>
    </row>
    <row r="87" spans="1:5" ht="16.5" customHeight="1" x14ac:dyDescent="0.25">
      <c r="A87" s="16" t="s">
        <v>82</v>
      </c>
      <c r="B87" s="141"/>
      <c r="C87" s="221" t="s">
        <v>180</v>
      </c>
      <c r="D87" s="33">
        <f>TRUNC(((($D$79+$D$84)/(1-(($B$87+$B$88+$B$89)))))*B87,2)</f>
        <v>0</v>
      </c>
      <c r="E87" s="52" t="s">
        <v>84</v>
      </c>
    </row>
    <row r="88" spans="1:5" ht="16.5" customHeight="1" x14ac:dyDescent="0.25">
      <c r="A88" s="16" t="s">
        <v>85</v>
      </c>
      <c r="B88" s="141"/>
      <c r="C88" s="222"/>
      <c r="D88" s="33">
        <f>TRUNC(((($D$79+$D$84)/(1-(($B$87+$B$88+$B$89)))))*B88,2)</f>
        <v>0</v>
      </c>
      <c r="E88" s="97" t="s">
        <v>86</v>
      </c>
    </row>
    <row r="89" spans="1:5" ht="16.5" customHeight="1" x14ac:dyDescent="0.25">
      <c r="A89" s="16" t="s">
        <v>87</v>
      </c>
      <c r="B89" s="141"/>
      <c r="C89" s="222"/>
      <c r="D89" s="33">
        <f>TRUNC(((($D$79+$D$84)/(1-(($B$87+$B$88+$B$89)))))*B89,2)</f>
        <v>0</v>
      </c>
      <c r="E89" s="52" t="s">
        <v>88</v>
      </c>
    </row>
    <row r="90" spans="1:5" ht="16.5" customHeight="1" thickBot="1" x14ac:dyDescent="0.3">
      <c r="A90" s="24" t="s">
        <v>80</v>
      </c>
      <c r="B90" s="37">
        <f>SUM(B87:B89)</f>
        <v>0</v>
      </c>
      <c r="C90" s="25" t="s">
        <v>7</v>
      </c>
      <c r="D90" s="38">
        <f>SUM(D87:D89)</f>
        <v>0</v>
      </c>
      <c r="E90" s="28" t="s">
        <v>1</v>
      </c>
    </row>
    <row r="91" spans="1:5" ht="13.8" thickBot="1" x14ac:dyDescent="0.3">
      <c r="A91" s="10"/>
      <c r="B91" s="11"/>
      <c r="C91" s="11"/>
      <c r="D91" s="12"/>
      <c r="E91" s="11"/>
    </row>
    <row r="92" spans="1:5" ht="16.5" customHeight="1" thickBot="1" x14ac:dyDescent="0.3">
      <c r="A92" s="99" t="s">
        <v>141</v>
      </c>
      <c r="B92" s="100" t="s">
        <v>1</v>
      </c>
      <c r="C92" s="7" t="s">
        <v>4</v>
      </c>
      <c r="D92" s="101" t="s">
        <v>90</v>
      </c>
      <c r="E92" s="15" t="s">
        <v>91</v>
      </c>
    </row>
    <row r="93" spans="1:5" ht="16.5" customHeight="1" thickBot="1" x14ac:dyDescent="0.3">
      <c r="A93" s="102"/>
      <c r="B93" s="103" t="s">
        <v>1</v>
      </c>
      <c r="C93" s="122" t="s">
        <v>181</v>
      </c>
      <c r="D93" s="164">
        <f>SUM(D79,D84,D90)</f>
        <v>0</v>
      </c>
      <c r="E93" s="165">
        <f>D93*12</f>
        <v>0</v>
      </c>
    </row>
    <row r="94" spans="1:5" ht="13.8" thickBot="1" x14ac:dyDescent="0.3"/>
    <row r="95" spans="1:5" ht="16.5" customHeight="1" thickBot="1" x14ac:dyDescent="0.3">
      <c r="A95" s="99" t="s">
        <v>142</v>
      </c>
      <c r="B95" s="100" t="s">
        <v>1</v>
      </c>
      <c r="C95" s="126" t="s">
        <v>4</v>
      </c>
      <c r="D95" s="101" t="s">
        <v>90</v>
      </c>
      <c r="E95" s="149" t="s">
        <v>91</v>
      </c>
    </row>
    <row r="96" spans="1:5" ht="16.5" customHeight="1" x14ac:dyDescent="0.25">
      <c r="A96" s="153" t="s">
        <v>213</v>
      </c>
      <c r="B96" s="154" t="s">
        <v>1</v>
      </c>
      <c r="C96" s="158" t="s">
        <v>216</v>
      </c>
      <c r="D96" s="161">
        <f>'PLANILHA - RE - 55'!D55</f>
        <v>0</v>
      </c>
      <c r="E96" s="166">
        <f>D96*12</f>
        <v>0</v>
      </c>
    </row>
    <row r="97" spans="1:5" x14ac:dyDescent="0.25">
      <c r="A97" s="155" t="s">
        <v>214</v>
      </c>
      <c r="B97" s="151" t="s">
        <v>1</v>
      </c>
      <c r="C97" s="159" t="s">
        <v>217</v>
      </c>
      <c r="D97" s="162">
        <f>'PLANILHA - RE - 70'!D55</f>
        <v>0</v>
      </c>
      <c r="E97" s="167">
        <f>D97*12</f>
        <v>0</v>
      </c>
    </row>
    <row r="98" spans="1:5" ht="13.8" thickBot="1" x14ac:dyDescent="0.3">
      <c r="A98" s="156" t="s">
        <v>215</v>
      </c>
      <c r="B98" s="157" t="s">
        <v>1</v>
      </c>
      <c r="C98" s="160" t="s">
        <v>218</v>
      </c>
      <c r="D98" s="163">
        <f>'PLANILHA - RE - 95'!D55</f>
        <v>0</v>
      </c>
      <c r="E98" s="165">
        <f>D98*12</f>
        <v>0</v>
      </c>
    </row>
    <row r="99" spans="1:5" ht="13.8" thickBot="1" x14ac:dyDescent="0.3"/>
    <row r="100" spans="1:5" ht="16.5" customHeight="1" x14ac:dyDescent="0.25">
      <c r="A100" s="99" t="s">
        <v>145</v>
      </c>
      <c r="B100" s="100" t="s">
        <v>1</v>
      </c>
      <c r="C100" s="126" t="s">
        <v>4</v>
      </c>
      <c r="D100" s="101" t="s">
        <v>90</v>
      </c>
      <c r="E100" s="149" t="s">
        <v>91</v>
      </c>
    </row>
    <row r="101" spans="1:5" ht="16.5" customHeight="1" x14ac:dyDescent="0.25">
      <c r="A101" s="150" t="s">
        <v>143</v>
      </c>
      <c r="B101" s="151" t="s">
        <v>1</v>
      </c>
      <c r="C101" s="159" t="s">
        <v>221</v>
      </c>
      <c r="D101" s="162">
        <f>D93</f>
        <v>0</v>
      </c>
      <c r="E101" s="162">
        <f>D101*12</f>
        <v>0</v>
      </c>
    </row>
    <row r="102" spans="1:5" ht="13.8" x14ac:dyDescent="0.25">
      <c r="A102" s="152" t="s">
        <v>144</v>
      </c>
      <c r="B102" s="142" t="s">
        <v>1</v>
      </c>
      <c r="C102" s="209" t="s">
        <v>146</v>
      </c>
      <c r="D102" s="162">
        <f>SUM(D96:D98)</f>
        <v>0</v>
      </c>
      <c r="E102" s="162">
        <f>D102*12</f>
        <v>0</v>
      </c>
    </row>
    <row r="103" spans="1:5" ht="16.5" customHeight="1" thickBot="1" x14ac:dyDescent="0.3">
      <c r="A103" s="168" t="s">
        <v>140</v>
      </c>
      <c r="B103" s="169" t="s">
        <v>1</v>
      </c>
      <c r="C103" s="127" t="s">
        <v>7</v>
      </c>
      <c r="D103" s="171">
        <f>SUM(D101:D102)</f>
        <v>0</v>
      </c>
      <c r="E103" s="170">
        <f>D103*12</f>
        <v>0</v>
      </c>
    </row>
  </sheetData>
  <sheetProtection algorithmName="SHA-512" hashValue="//gY1gS8MYAEDm/MNefVnClWX2SS2SiY017D6wVOtRG4MY/TgqI00mR6TfDRah3W1FTJzqhLuiWqiTlLQg0ptA==" saltValue="Skbq57e+KGCmpWNudp9Bzw==" spinCount="100000" sheet="1" objects="1" scenarios="1"/>
  <mergeCells count="12">
    <mergeCell ref="A1:E1"/>
    <mergeCell ref="A9:E9"/>
    <mergeCell ref="B40:C40"/>
    <mergeCell ref="B47:E47"/>
    <mergeCell ref="B48:E48"/>
    <mergeCell ref="D39:E39"/>
    <mergeCell ref="C82:C83"/>
    <mergeCell ref="C87:C89"/>
    <mergeCell ref="A85:E85"/>
    <mergeCell ref="A57:E57"/>
    <mergeCell ref="E59:E63"/>
    <mergeCell ref="C67:E67"/>
  </mergeCells>
  <conditionalFormatting sqref="B73">
    <cfRule type="expression" dxfId="39" priority="21">
      <formula>ISBLANK($B73)</formula>
    </cfRule>
  </conditionalFormatting>
  <conditionalFormatting sqref="B70">
    <cfRule type="expression" dxfId="38" priority="17">
      <formula>ISBLANK($B70)</formula>
    </cfRule>
  </conditionalFormatting>
  <conditionalFormatting sqref="B64">
    <cfRule type="expression" dxfId="37" priority="16">
      <formula>ISBLANK($B64)</formula>
    </cfRule>
  </conditionalFormatting>
  <conditionalFormatting sqref="B60:B63">
    <cfRule type="expression" dxfId="36" priority="15">
      <formula>ISBLANK($B60)</formula>
    </cfRule>
  </conditionalFormatting>
  <conditionalFormatting sqref="B59">
    <cfRule type="expression" dxfId="35" priority="14">
      <formula>ISBLANK($B59)</formula>
    </cfRule>
  </conditionalFormatting>
  <conditionalFormatting sqref="B82">
    <cfRule type="expression" dxfId="34" priority="13">
      <formula>ISBLANK($B82)=TRUE</formula>
    </cfRule>
  </conditionalFormatting>
  <conditionalFormatting sqref="B83">
    <cfRule type="expression" dxfId="33" priority="11">
      <formula>ISBLANK($B83)=TRUE</formula>
    </cfRule>
  </conditionalFormatting>
  <conditionalFormatting sqref="B87">
    <cfRule type="expression" dxfId="32" priority="10">
      <formula>ISBLANK($B87)=TRUE</formula>
    </cfRule>
  </conditionalFormatting>
  <conditionalFormatting sqref="B88">
    <cfRule type="expression" dxfId="31" priority="9">
      <formula>ISBLANK($B88)=TRUE</formula>
    </cfRule>
  </conditionalFormatting>
  <conditionalFormatting sqref="B89">
    <cfRule type="expression" dxfId="30" priority="8">
      <formula>ISBLANK($B89)=TRUE</formula>
    </cfRule>
  </conditionalFormatting>
  <conditionalFormatting sqref="D4">
    <cfRule type="expression" dxfId="29" priority="7">
      <formula>ISBLANK($D4)=TRUE</formula>
    </cfRule>
    <cfRule type="expression" dxfId="28" priority="2">
      <formula>"ÉCÉL.VAZIA($D$4)=VERDADEIRO"</formula>
    </cfRule>
  </conditionalFormatting>
  <conditionalFormatting sqref="B18">
    <cfRule type="expression" dxfId="27" priority="6">
      <formula>ISBLANK($B18)=TRUE</formula>
    </cfRule>
  </conditionalFormatting>
  <conditionalFormatting sqref="B71">
    <cfRule type="expression" dxfId="26" priority="5">
      <formula>ISBLANK($B71)</formula>
    </cfRule>
  </conditionalFormatting>
  <conditionalFormatting sqref="D5">
    <cfRule type="expression" dxfId="25" priority="4">
      <formula>ISBLANK($D5)=TRUE</formula>
    </cfRule>
  </conditionalFormatting>
  <conditionalFormatting sqref="B5">
    <cfRule type="expression" dxfId="24" priority="1">
      <formula>ISBLANK($B$5)=TRUE</formula>
    </cfRule>
  </conditionalFormatting>
  <dataValidations xWindow="1290" yWindow="401" count="7">
    <dataValidation operator="lessThanOrEqual" allowBlank="1" showInputMessage="1" showErrorMessage="1" error="ATENÇÃO: o valor tem de ser menor ou igual a R$62,00" sqref="B59:B63" xr:uid="{00000000-0002-0000-0100-000000000000}"/>
    <dataValidation operator="greaterThanOrEqual" allowBlank="1" showInputMessage="1" showErrorMessage="1" errorTitle="ATENÇÃO" error="O valor do salário tem de ser maior ou igual a R$2.114,90" promptTitle="ATENÇÃO:" prompt="Salário do profissional que compõe a equipe mínima, cuja formação e experiência serão comprovados nos termos do edital." sqref="D4" xr:uid="{889491FC-46B9-426B-9345-42A2310C1A95}"/>
    <dataValidation type="whole" operator="greaterThanOrEqual" allowBlank="1" showInputMessage="1" showErrorMessage="1" errorTitle="ATENÇÃO:" error="O nº mínimo de profissionais é de 2 (dois)." promptTitle="ATENÇÃO" prompt="Preencher com o nº de profissionais a comporem a equipe - mínimo de 2 (dois)." sqref="B5" xr:uid="{FD0F2345-2D69-4FF2-92B8-55773480AD95}">
      <formula1>2</formula1>
    </dataValidation>
    <dataValidation allowBlank="1" showInputMessage="1" showErrorMessage="1" promptTitle="ATENÇÃO" prompt="Preencha com a alíquota nominal cabível estabelecida na lei específica." sqref="B87:B89" xr:uid="{45E876AD-717E-4907-AD9A-5755DDC183C7}"/>
    <dataValidation allowBlank="1" showInputMessage="1" showErrorMessage="1" promptTitle="ATENÇÃO" prompt="Preencha conforme a realidade, em relação aos serviços licitados. A alteração deste percentual, quando da apresentação das planilhas relacionadas ao último valor ofertado, somente será possível nos termos do edital, Anexo X, item X." sqref="B83" xr:uid="{80ABF6FD-AE79-45C9-BC65-6879870EF51C}"/>
    <dataValidation allowBlank="1" showInputMessage="1" showErrorMessage="1" promptTitle="ATENÇÃO" prompt="Preencha somente se houver benefícios previstos na legislação vigente, ACT ou CCT, não previstos na planilha. Cada um desses benefícios terá de ser discriminado em arquivo complementar a ser encaminhado conforme o edital, Anexo III, item 1.3." sqref="B73" xr:uid="{AAEFEAED-0E59-443C-A66C-2BF04642DCFE}"/>
    <dataValidation operator="lessThanOrEqual" allowBlank="1" showInputMessage="1" showErrorMessage="1" error="ATENÇÃO: o valor tem de ser menor ou igual a R$62,00" promptTitle="ATENÇÃO:" prompt="Preencha somente com insumos não previstos na planilha mas necessários para a prestação dos serviços, se houver. Cada um desses insumos terá de ser discriminado em arquivo complementar a ser encaminhado conforme o edital, Anexo III, item 1.3" sqref="B64" xr:uid="{9557F53D-7376-49F0-ACB5-38A5BE13EC49}"/>
  </dataValidations>
  <pageMargins left="0.511811024" right="0.511811024" top="0.78740157499999996" bottom="0.72" header="0.31496062000000002" footer="0.31496062000000002"/>
  <pageSetup paperSize="9" scale="43" orientation="portrait" r:id="rId1"/>
  <ignoredErrors>
    <ignoredError sqref="D72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2060"/>
  </sheetPr>
  <dimension ref="A1:E56"/>
  <sheetViews>
    <sheetView zoomScale="90" zoomScaleNormal="90" workbookViewId="0">
      <selection activeCell="B13" sqref="B13"/>
    </sheetView>
  </sheetViews>
  <sheetFormatPr defaultColWidth="9.109375" defaultRowHeight="13.2" x14ac:dyDescent="0.25"/>
  <cols>
    <col min="1" max="1" width="68.5546875" style="1" customWidth="1"/>
    <col min="2" max="2" width="15.109375" style="1" customWidth="1"/>
    <col min="3" max="3" width="56" style="1" customWidth="1"/>
    <col min="4" max="4" width="13.5546875" style="106" customWidth="1"/>
    <col min="5" max="5" width="57.88671875" style="1" customWidth="1"/>
    <col min="6" max="16384" width="9.109375" style="1"/>
  </cols>
  <sheetData>
    <row r="1" spans="1:5" ht="19.2" thickBot="1" x14ac:dyDescent="0.3">
      <c r="A1" s="233" t="s">
        <v>203</v>
      </c>
      <c r="B1" s="234"/>
      <c r="C1" s="234"/>
      <c r="D1" s="234"/>
      <c r="E1" s="235"/>
    </row>
    <row r="2" spans="1:5" ht="19.2" thickBot="1" x14ac:dyDescent="0.3">
      <c r="A2" s="2"/>
      <c r="B2" s="3"/>
      <c r="C2" s="3"/>
      <c r="D2" s="4"/>
      <c r="E2" s="5"/>
    </row>
    <row r="3" spans="1:5" ht="17.25" customHeight="1" x14ac:dyDescent="0.25">
      <c r="A3" s="6" t="s">
        <v>103</v>
      </c>
      <c r="B3" s="7"/>
      <c r="C3" s="7"/>
      <c r="D3" s="7" t="s">
        <v>0</v>
      </c>
      <c r="E3" s="7" t="s">
        <v>1</v>
      </c>
    </row>
    <row r="4" spans="1:5" ht="27" customHeight="1" thickBot="1" x14ac:dyDescent="0.3">
      <c r="A4" s="8" t="s">
        <v>202</v>
      </c>
      <c r="B4" s="9"/>
      <c r="C4" s="9" t="s">
        <v>2</v>
      </c>
      <c r="D4" s="121">
        <f>'PLANILHA - RN'!D4</f>
        <v>0</v>
      </c>
      <c r="E4" s="214" t="s">
        <v>245</v>
      </c>
    </row>
    <row r="5" spans="1:5" ht="18.75" customHeight="1" thickBot="1" x14ac:dyDescent="0.3">
      <c r="A5" s="118" t="s">
        <v>242</v>
      </c>
      <c r="B5" s="11"/>
      <c r="C5" s="11"/>
      <c r="D5" s="12"/>
      <c r="E5" s="11"/>
    </row>
    <row r="6" spans="1:5" ht="17.25" customHeight="1" x14ac:dyDescent="0.25">
      <c r="A6" s="13" t="s">
        <v>246</v>
      </c>
      <c r="B6" s="7" t="s">
        <v>3</v>
      </c>
      <c r="C6" s="7" t="s">
        <v>4</v>
      </c>
      <c r="D6" s="14" t="s">
        <v>0</v>
      </c>
      <c r="E6" s="15" t="s">
        <v>5</v>
      </c>
    </row>
    <row r="7" spans="1:5" ht="17.25" customHeight="1" x14ac:dyDescent="0.25">
      <c r="A7" s="16" t="s">
        <v>106</v>
      </c>
      <c r="B7" s="77" t="s">
        <v>1</v>
      </c>
      <c r="C7" s="17" t="s">
        <v>1</v>
      </c>
      <c r="D7" s="18">
        <f>TRUNC(D4/220,2)</f>
        <v>0</v>
      </c>
      <c r="E7" s="19"/>
    </row>
    <row r="8" spans="1:5" ht="26.4" customHeight="1" x14ac:dyDescent="0.25">
      <c r="A8" s="20" t="s">
        <v>204</v>
      </c>
      <c r="B8" s="107">
        <v>1</v>
      </c>
      <c r="C8" s="21" t="s">
        <v>108</v>
      </c>
      <c r="D8" s="22">
        <f>TRUNC(0.55*($D$7)*B8,2)</f>
        <v>0</v>
      </c>
      <c r="E8" s="148" t="s">
        <v>241</v>
      </c>
    </row>
    <row r="9" spans="1:5" ht="30.75" customHeight="1" x14ac:dyDescent="0.25">
      <c r="A9" s="20" t="s">
        <v>191</v>
      </c>
      <c r="B9" s="184" t="s">
        <v>1</v>
      </c>
      <c r="C9" s="185" t="s">
        <v>192</v>
      </c>
      <c r="D9" s="22">
        <f>TRUNC(D8*(BASE!D3/BASE!C3),2)</f>
        <v>0</v>
      </c>
      <c r="E9" s="174" t="s">
        <v>193</v>
      </c>
    </row>
    <row r="10" spans="1:5" ht="16.5" customHeight="1" thickBot="1" x14ac:dyDescent="0.3">
      <c r="A10" s="24" t="s">
        <v>6</v>
      </c>
      <c r="B10" s="25" t="s">
        <v>1</v>
      </c>
      <c r="C10" s="26" t="s">
        <v>7</v>
      </c>
      <c r="D10" s="27">
        <f>SUM(D7:D9)</f>
        <v>0</v>
      </c>
      <c r="E10" s="28" t="s">
        <v>1</v>
      </c>
    </row>
    <row r="11" spans="1:5" ht="13.5" customHeight="1" thickBot="1" x14ac:dyDescent="0.3">
      <c r="A11" s="29"/>
      <c r="B11" s="30"/>
      <c r="C11" s="31"/>
      <c r="D11" s="12"/>
      <c r="E11" s="11"/>
    </row>
    <row r="12" spans="1:5" ht="16.5" customHeight="1" thickBot="1" x14ac:dyDescent="0.3">
      <c r="A12" s="225" t="s">
        <v>8</v>
      </c>
      <c r="B12" s="226"/>
      <c r="C12" s="226"/>
      <c r="D12" s="226"/>
      <c r="E12" s="227"/>
    </row>
    <row r="13" spans="1:5" ht="16.5" customHeight="1" x14ac:dyDescent="0.25">
      <c r="A13" s="13" t="s">
        <v>9</v>
      </c>
      <c r="B13" s="7" t="s">
        <v>10</v>
      </c>
      <c r="C13" s="7" t="s">
        <v>4</v>
      </c>
      <c r="D13" s="14" t="s">
        <v>0</v>
      </c>
      <c r="E13" s="15" t="s">
        <v>5</v>
      </c>
    </row>
    <row r="14" spans="1:5" ht="16.5" customHeight="1" x14ac:dyDescent="0.25">
      <c r="A14" s="16" t="s">
        <v>11</v>
      </c>
      <c r="B14" s="32">
        <v>0.2</v>
      </c>
      <c r="C14" s="17" t="s">
        <v>12</v>
      </c>
      <c r="D14" s="33">
        <f>TRUNC(B14*$D$10,2)</f>
        <v>0</v>
      </c>
      <c r="E14" s="61" t="s">
        <v>13</v>
      </c>
    </row>
    <row r="15" spans="1:5" ht="16.5" customHeight="1" x14ac:dyDescent="0.25">
      <c r="A15" s="16" t="s">
        <v>14</v>
      </c>
      <c r="B15" s="32">
        <v>0.08</v>
      </c>
      <c r="C15" s="17" t="s">
        <v>15</v>
      </c>
      <c r="D15" s="33">
        <f t="shared" ref="D15:D23" si="0">TRUNC(B15*$D$10,2)</f>
        <v>0</v>
      </c>
      <c r="E15" s="34" t="s">
        <v>16</v>
      </c>
    </row>
    <row r="16" spans="1:5" ht="17.25" customHeight="1" x14ac:dyDescent="0.25">
      <c r="A16" s="16" t="s">
        <v>17</v>
      </c>
      <c r="B16" s="32">
        <v>1.4999999999999999E-2</v>
      </c>
      <c r="C16" s="17" t="s">
        <v>18</v>
      </c>
      <c r="D16" s="33">
        <f t="shared" si="0"/>
        <v>0</v>
      </c>
      <c r="E16" s="34" t="s">
        <v>19</v>
      </c>
    </row>
    <row r="17" spans="1:5" ht="17.25" customHeight="1" x14ac:dyDescent="0.25">
      <c r="A17" s="16" t="s">
        <v>20</v>
      </c>
      <c r="B17" s="32">
        <v>0.01</v>
      </c>
      <c r="C17" s="17" t="s">
        <v>21</v>
      </c>
      <c r="D17" s="33">
        <f t="shared" si="0"/>
        <v>0</v>
      </c>
      <c r="E17" s="34" t="s">
        <v>22</v>
      </c>
    </row>
    <row r="18" spans="1:5" ht="17.25" customHeight="1" x14ac:dyDescent="0.25">
      <c r="A18" s="16" t="s">
        <v>23</v>
      </c>
      <c r="B18" s="32">
        <v>2E-3</v>
      </c>
      <c r="C18" s="17" t="s">
        <v>24</v>
      </c>
      <c r="D18" s="33">
        <f t="shared" si="0"/>
        <v>0</v>
      </c>
      <c r="E18" s="34" t="s">
        <v>25</v>
      </c>
    </row>
    <row r="19" spans="1:5" ht="17.25" customHeight="1" x14ac:dyDescent="0.25">
      <c r="A19" s="16" t="s">
        <v>26</v>
      </c>
      <c r="B19" s="32">
        <v>6.0000000000000001E-3</v>
      </c>
      <c r="C19" s="17" t="s">
        <v>27</v>
      </c>
      <c r="D19" s="33">
        <f t="shared" si="0"/>
        <v>0</v>
      </c>
      <c r="E19" s="34" t="s">
        <v>28</v>
      </c>
    </row>
    <row r="20" spans="1:5" ht="17.25" customHeight="1" x14ac:dyDescent="0.25">
      <c r="A20" s="16" t="s">
        <v>29</v>
      </c>
      <c r="B20" s="32">
        <v>2.5000000000000001E-2</v>
      </c>
      <c r="C20" s="17" t="s">
        <v>30</v>
      </c>
      <c r="D20" s="33">
        <f t="shared" si="0"/>
        <v>0</v>
      </c>
      <c r="E20" s="34" t="s">
        <v>31</v>
      </c>
    </row>
    <row r="21" spans="1:5" ht="17.25" customHeight="1" x14ac:dyDescent="0.25">
      <c r="A21" s="35" t="s">
        <v>32</v>
      </c>
      <c r="B21" s="119">
        <f>'PLANILHA - RN'!B18</f>
        <v>0</v>
      </c>
      <c r="C21" s="17" t="s">
        <v>33</v>
      </c>
      <c r="D21" s="33">
        <f t="shared" si="0"/>
        <v>0</v>
      </c>
      <c r="E21" s="36" t="s">
        <v>34</v>
      </c>
    </row>
    <row r="22" spans="1:5" ht="17.25" customHeight="1" x14ac:dyDescent="0.25">
      <c r="A22" s="78" t="s">
        <v>194</v>
      </c>
      <c r="B22" s="186">
        <f>1/12</f>
        <v>8.3333333333333329E-2</v>
      </c>
      <c r="C22" s="17" t="s">
        <v>38</v>
      </c>
      <c r="D22" s="33">
        <f t="shared" si="0"/>
        <v>0</v>
      </c>
      <c r="E22" s="34" t="s">
        <v>45</v>
      </c>
    </row>
    <row r="23" spans="1:5" ht="17.25" customHeight="1" x14ac:dyDescent="0.25">
      <c r="A23" s="78" t="s">
        <v>195</v>
      </c>
      <c r="B23" s="186">
        <f>(1/3)/12</f>
        <v>2.7777777777777776E-2</v>
      </c>
      <c r="C23" s="17" t="s">
        <v>196</v>
      </c>
      <c r="D23" s="33">
        <f t="shared" si="0"/>
        <v>0</v>
      </c>
      <c r="E23" s="34" t="s">
        <v>45</v>
      </c>
    </row>
    <row r="24" spans="1:5" ht="17.25" customHeight="1" thickBot="1" x14ac:dyDescent="0.3">
      <c r="A24" s="24" t="s">
        <v>35</v>
      </c>
      <c r="B24" s="37">
        <f>SUM(B14:B23)</f>
        <v>0.44911111111111118</v>
      </c>
      <c r="C24" s="25" t="s">
        <v>7</v>
      </c>
      <c r="D24" s="38">
        <f>SUM(D14:D23)</f>
        <v>0</v>
      </c>
      <c r="E24" s="28" t="s">
        <v>1</v>
      </c>
    </row>
    <row r="25" spans="1:5" ht="13.8" thickBot="1" x14ac:dyDescent="0.3">
      <c r="A25" s="10"/>
      <c r="B25" s="11"/>
      <c r="C25" s="11"/>
      <c r="D25" s="12"/>
      <c r="E25" s="39"/>
    </row>
    <row r="26" spans="1:5" ht="15.75" customHeight="1" x14ac:dyDescent="0.25">
      <c r="A26" s="13" t="s">
        <v>36</v>
      </c>
      <c r="B26" s="7" t="s">
        <v>10</v>
      </c>
      <c r="C26" s="7" t="s">
        <v>4</v>
      </c>
      <c r="D26" s="14" t="s">
        <v>0</v>
      </c>
      <c r="E26" s="15" t="s">
        <v>5</v>
      </c>
    </row>
    <row r="27" spans="1:5" ht="15.75" customHeight="1" x14ac:dyDescent="0.25">
      <c r="A27" s="16" t="s">
        <v>37</v>
      </c>
      <c r="B27" s="32">
        <f>(1/12)</f>
        <v>8.3333333333333329E-2</v>
      </c>
      <c r="C27" s="17" t="s">
        <v>38</v>
      </c>
      <c r="D27" s="33">
        <f>TRUNC(B27*$D$10,2)</f>
        <v>0</v>
      </c>
      <c r="E27" s="34" t="s">
        <v>39</v>
      </c>
    </row>
    <row r="28" spans="1:5" ht="15.75" customHeight="1" x14ac:dyDescent="0.25">
      <c r="A28" s="20" t="s">
        <v>40</v>
      </c>
      <c r="B28" s="40">
        <f>B24*B27</f>
        <v>3.7425925925925932E-2</v>
      </c>
      <c r="C28" s="77" t="s">
        <v>41</v>
      </c>
      <c r="D28" s="33">
        <f>TRUNC(B28*$D$10,2)</f>
        <v>0</v>
      </c>
      <c r="E28" s="41" t="s">
        <v>42</v>
      </c>
    </row>
    <row r="29" spans="1:5" ht="16.5" customHeight="1" thickBot="1" x14ac:dyDescent="0.3">
      <c r="A29" s="24" t="s">
        <v>43</v>
      </c>
      <c r="B29" s="37">
        <f>SUM(B27:B28)</f>
        <v>0.12075925925925926</v>
      </c>
      <c r="C29" s="25" t="s">
        <v>7</v>
      </c>
      <c r="D29" s="38">
        <f>SUM(D27:D28)</f>
        <v>0</v>
      </c>
      <c r="E29" s="28" t="s">
        <v>1</v>
      </c>
    </row>
    <row r="30" spans="1:5" ht="13.8" thickBot="1" x14ac:dyDescent="0.3">
      <c r="A30" s="42"/>
      <c r="B30" s="43"/>
      <c r="C30" s="43"/>
      <c r="D30" s="44"/>
      <c r="E30" s="45"/>
    </row>
    <row r="31" spans="1:5" ht="16.5" customHeight="1" thickBot="1" x14ac:dyDescent="0.3">
      <c r="A31" s="71" t="s">
        <v>64</v>
      </c>
      <c r="B31" s="72">
        <f>SUM(B29,B24)</f>
        <v>0.56987037037037047</v>
      </c>
      <c r="C31" s="73" t="s">
        <v>105</v>
      </c>
      <c r="D31" s="74">
        <f>SUM(D24,D29)</f>
        <v>0</v>
      </c>
      <c r="E31" s="75" t="s">
        <v>1</v>
      </c>
    </row>
    <row r="32" spans="1:5" ht="13.8" thickBot="1" x14ac:dyDescent="0.3">
      <c r="A32" s="11"/>
      <c r="B32" s="11"/>
      <c r="C32" s="11"/>
      <c r="D32" s="76"/>
      <c r="E32" s="11"/>
    </row>
    <row r="33" spans="1:5" ht="16.5" customHeight="1" x14ac:dyDescent="0.25">
      <c r="A33" s="225" t="s">
        <v>122</v>
      </c>
      <c r="B33" s="226"/>
      <c r="C33" s="226"/>
      <c r="D33" s="226"/>
      <c r="E33" s="227"/>
    </row>
    <row r="34" spans="1:5" ht="31.5" customHeight="1" x14ac:dyDescent="0.25">
      <c r="A34" s="20" t="s">
        <v>100</v>
      </c>
      <c r="B34" s="172">
        <f>'PLANILHA - RN'!B73</f>
        <v>0</v>
      </c>
      <c r="C34" s="77" t="s">
        <v>72</v>
      </c>
      <c r="D34" s="22">
        <f>B34</f>
        <v>0</v>
      </c>
      <c r="E34" s="80" t="s">
        <v>73</v>
      </c>
    </row>
    <row r="35" spans="1:5" ht="17.25" customHeight="1" thickBot="1" x14ac:dyDescent="0.3">
      <c r="A35" s="24" t="s">
        <v>74</v>
      </c>
      <c r="B35" s="140"/>
      <c r="C35" s="25" t="s">
        <v>7</v>
      </c>
      <c r="D35" s="38">
        <f>D34</f>
        <v>0</v>
      </c>
      <c r="E35" s="28" t="s">
        <v>1</v>
      </c>
    </row>
    <row r="36" spans="1:5" x14ac:dyDescent="0.25">
      <c r="A36" s="82" t="s">
        <v>225</v>
      </c>
      <c r="B36" s="11"/>
      <c r="C36" s="11"/>
      <c r="D36" s="12"/>
      <c r="E36" s="11"/>
    </row>
    <row r="37" spans="1:5" ht="13.8" thickBot="1" x14ac:dyDescent="0.3">
      <c r="A37" s="11"/>
      <c r="B37" s="11"/>
      <c r="C37" s="11"/>
      <c r="D37" s="76"/>
      <c r="E37" s="11"/>
    </row>
    <row r="38" spans="1:5" ht="26.25" customHeight="1" thickBot="1" x14ac:dyDescent="0.3">
      <c r="A38" s="88" t="s">
        <v>123</v>
      </c>
      <c r="B38" s="89" t="s">
        <v>1</v>
      </c>
      <c r="C38" s="89" t="s">
        <v>76</v>
      </c>
      <c r="D38" s="90">
        <f>SUM(D10,D31,D35)</f>
        <v>0</v>
      </c>
      <c r="E38" s="75" t="s">
        <v>1</v>
      </c>
    </row>
    <row r="39" spans="1:5" ht="13.8" thickBot="1" x14ac:dyDescent="0.3"/>
    <row r="40" spans="1:5" ht="17.25" customHeight="1" x14ac:dyDescent="0.25">
      <c r="A40" s="13" t="s">
        <v>77</v>
      </c>
      <c r="B40" s="7" t="s">
        <v>10</v>
      </c>
      <c r="C40" s="7" t="s">
        <v>4</v>
      </c>
      <c r="D40" s="14" t="s">
        <v>0</v>
      </c>
      <c r="E40" s="15" t="s">
        <v>5</v>
      </c>
    </row>
    <row r="41" spans="1:5" ht="17.25" customHeight="1" x14ac:dyDescent="0.25">
      <c r="A41" s="16" t="s">
        <v>78</v>
      </c>
      <c r="B41" s="119">
        <f>'PLANILHA - RN'!B82</f>
        <v>0</v>
      </c>
      <c r="C41" s="219" t="s">
        <v>79</v>
      </c>
      <c r="D41" s="95">
        <f>TRUNC(B41*D38,2)</f>
        <v>0</v>
      </c>
      <c r="E41" s="96" t="s">
        <v>1</v>
      </c>
    </row>
    <row r="42" spans="1:5" ht="30.75" customHeight="1" x14ac:dyDescent="0.25">
      <c r="A42" s="16" t="s">
        <v>104</v>
      </c>
      <c r="B42" s="119">
        <f>'PLANILHA - RN'!B83</f>
        <v>0</v>
      </c>
      <c r="C42" s="220"/>
      <c r="D42" s="95">
        <f>TRUNC(B42*D38,2)</f>
        <v>0</v>
      </c>
      <c r="E42" s="175" t="s">
        <v>1</v>
      </c>
    </row>
    <row r="43" spans="1:5" ht="16.5" customHeight="1" thickBot="1" x14ac:dyDescent="0.3">
      <c r="A43" s="24" t="s">
        <v>80</v>
      </c>
      <c r="B43" s="37">
        <f>SUM(B41:B42)</f>
        <v>0</v>
      </c>
      <c r="C43" s="25" t="s">
        <v>7</v>
      </c>
      <c r="D43" s="27">
        <f>SUM(D41:D42)</f>
        <v>0</v>
      </c>
      <c r="E43" s="28" t="s">
        <v>1</v>
      </c>
    </row>
    <row r="44" spans="1:5" ht="24" customHeight="1" thickBot="1" x14ac:dyDescent="0.35">
      <c r="A44" s="223"/>
      <c r="B44" s="224"/>
      <c r="C44" s="224"/>
      <c r="D44" s="224"/>
      <c r="E44" s="224"/>
    </row>
    <row r="45" spans="1:5" ht="16.5" customHeight="1" x14ac:dyDescent="0.25">
      <c r="A45" s="98" t="s">
        <v>81</v>
      </c>
      <c r="B45" s="7" t="s">
        <v>10</v>
      </c>
      <c r="C45" s="7" t="s">
        <v>4</v>
      </c>
      <c r="D45" s="14" t="s">
        <v>0</v>
      </c>
      <c r="E45" s="15" t="s">
        <v>5</v>
      </c>
    </row>
    <row r="46" spans="1:5" ht="16.5" customHeight="1" x14ac:dyDescent="0.25">
      <c r="A46" s="16" t="s">
        <v>82</v>
      </c>
      <c r="B46" s="119">
        <f>'PLANILHA - RN'!B87</f>
        <v>0</v>
      </c>
      <c r="C46" s="221" t="s">
        <v>83</v>
      </c>
      <c r="D46" s="33">
        <f t="shared" ref="D46:D47" si="1">TRUNC(((($D$38+$D$43)/(1-(($B$46+$B$47+$B$48)))))*B46,2)</f>
        <v>0</v>
      </c>
      <c r="E46" s="52" t="s">
        <v>84</v>
      </c>
    </row>
    <row r="47" spans="1:5" ht="16.5" customHeight="1" x14ac:dyDescent="0.25">
      <c r="A47" s="16" t="s">
        <v>85</v>
      </c>
      <c r="B47" s="119">
        <f>'PLANILHA - RN'!B88</f>
        <v>0</v>
      </c>
      <c r="C47" s="222"/>
      <c r="D47" s="33">
        <f t="shared" si="1"/>
        <v>0</v>
      </c>
      <c r="E47" s="97" t="s">
        <v>86</v>
      </c>
    </row>
    <row r="48" spans="1:5" ht="16.5" customHeight="1" x14ac:dyDescent="0.25">
      <c r="A48" s="16" t="s">
        <v>87</v>
      </c>
      <c r="B48" s="119">
        <f>'PLANILHA - RN'!B89</f>
        <v>0</v>
      </c>
      <c r="C48" s="222"/>
      <c r="D48" s="33">
        <f>TRUNC(((($D$38+$D$43)/(1-(($B$46+$B$47+$B$48)))))*B48,2)</f>
        <v>0</v>
      </c>
      <c r="E48" s="52" t="s">
        <v>88</v>
      </c>
    </row>
    <row r="49" spans="1:5" ht="16.5" customHeight="1" thickBot="1" x14ac:dyDescent="0.3">
      <c r="A49" s="24" t="s">
        <v>89</v>
      </c>
      <c r="B49" s="37">
        <f>SUM(B46:B48)</f>
        <v>0</v>
      </c>
      <c r="C49" s="25" t="s">
        <v>7</v>
      </c>
      <c r="D49" s="38">
        <f>SUM(D46:D48)</f>
        <v>0</v>
      </c>
      <c r="E49" s="28" t="s">
        <v>1</v>
      </c>
    </row>
    <row r="50" spans="1:5" ht="13.8" thickBot="1" x14ac:dyDescent="0.3">
      <c r="A50" s="10"/>
      <c r="B50" s="11"/>
      <c r="C50" s="11"/>
      <c r="D50" s="12"/>
      <c r="E50" s="11"/>
    </row>
    <row r="51" spans="1:5" ht="16.5" customHeight="1" thickBot="1" x14ac:dyDescent="0.3">
      <c r="A51" s="99" t="s">
        <v>125</v>
      </c>
      <c r="B51" s="100" t="s">
        <v>1</v>
      </c>
      <c r="C51" s="7" t="s">
        <v>4</v>
      </c>
      <c r="D51" s="101" t="s">
        <v>90</v>
      </c>
      <c r="E51" s="15" t="s">
        <v>91</v>
      </c>
    </row>
    <row r="52" spans="1:5" ht="16.5" customHeight="1" thickBot="1" x14ac:dyDescent="0.3">
      <c r="A52" s="135" t="s">
        <v>208</v>
      </c>
      <c r="B52" s="103" t="s">
        <v>1</v>
      </c>
      <c r="C52" s="103" t="s">
        <v>92</v>
      </c>
      <c r="D52" s="104">
        <f>SUM(D38,D43,D49)</f>
        <v>0</v>
      </c>
      <c r="E52" s="105">
        <f>D52*12</f>
        <v>0</v>
      </c>
    </row>
    <row r="53" spans="1:5" ht="13.8" thickBot="1" x14ac:dyDescent="0.3"/>
    <row r="54" spans="1:5" ht="16.5" customHeight="1" thickBot="1" x14ac:dyDescent="0.3">
      <c r="A54" s="99" t="s">
        <v>107</v>
      </c>
      <c r="B54" s="100" t="s">
        <v>1</v>
      </c>
      <c r="C54" s="7" t="s">
        <v>4</v>
      </c>
      <c r="D54" s="101" t="s">
        <v>90</v>
      </c>
      <c r="E54" s="15" t="s">
        <v>91</v>
      </c>
    </row>
    <row r="55" spans="1:5" ht="16.5" customHeight="1" thickBot="1" x14ac:dyDescent="0.3">
      <c r="A55" s="102" t="s">
        <v>209</v>
      </c>
      <c r="B55" s="103" t="s">
        <v>1</v>
      </c>
      <c r="C55" s="134" t="s">
        <v>124</v>
      </c>
      <c r="D55" s="104">
        <f>TRUNC(D52*10,2)</f>
        <v>0</v>
      </c>
      <c r="E55" s="105">
        <f>D55*12</f>
        <v>0</v>
      </c>
    </row>
    <row r="56" spans="1:5" ht="36" customHeight="1" x14ac:dyDescent="0.25">
      <c r="A56" s="133" t="s">
        <v>121</v>
      </c>
    </row>
  </sheetData>
  <sheetProtection algorithmName="SHA-512" hashValue="V2bQcnMN/l/o6u9d3TqLf3yXQ9nQbu5vv+ZriExAe66mz5U8K3pOkGCLQfdOrc1VXYb05keao8gPp66IV961aw==" saltValue="dFLExcSjYaUmsACS6r5BdA==" spinCount="100000" sheet="1" objects="1" scenarios="1"/>
  <mergeCells count="6">
    <mergeCell ref="C46:C48"/>
    <mergeCell ref="A33:E33"/>
    <mergeCell ref="A1:E1"/>
    <mergeCell ref="A12:E12"/>
    <mergeCell ref="C41:C42"/>
    <mergeCell ref="A44:E44"/>
  </mergeCells>
  <conditionalFormatting sqref="B21:B23">
    <cfRule type="expression" dxfId="23" priority="2">
      <formula>ISBLANK($B21)=TRUE</formula>
    </cfRule>
  </conditionalFormatting>
  <conditionalFormatting sqref="B41">
    <cfRule type="expression" dxfId="22" priority="8">
      <formula>ISBLANK($B41)=TRUE</formula>
    </cfRule>
  </conditionalFormatting>
  <conditionalFormatting sqref="B42">
    <cfRule type="expression" dxfId="21" priority="7">
      <formula>ISBLANK($B42)=TRUE</formula>
    </cfRule>
  </conditionalFormatting>
  <conditionalFormatting sqref="B46">
    <cfRule type="expression" dxfId="20" priority="6">
      <formula>ISBLANK($B46)=TRUE</formula>
    </cfRule>
  </conditionalFormatting>
  <conditionalFormatting sqref="B47">
    <cfRule type="expression" dxfId="19" priority="5">
      <formula>ISBLANK($B47)=TRUE</formula>
    </cfRule>
  </conditionalFormatting>
  <conditionalFormatting sqref="B48">
    <cfRule type="expression" dxfId="18" priority="4">
      <formula>ISBLANK($B48)=TRUE</formula>
    </cfRule>
  </conditionalFormatting>
  <conditionalFormatting sqref="D4">
    <cfRule type="expression" dxfId="17" priority="3">
      <formula>ISBLANK($D4)=TRUE</formula>
    </cfRule>
  </conditionalFormatting>
  <conditionalFormatting sqref="B34">
    <cfRule type="expression" dxfId="16" priority="1">
      <formula>ISBLANK($B34)</formula>
    </cfRule>
  </conditionalFormatting>
  <pageMargins left="0.511811024" right="0.511811024" top="0.78740157499999996" bottom="0.78740157499999996" header="0.31496062000000002" footer="0.31496062000000002"/>
  <pageSetup paperSize="9" scale="4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 tint="-0.249977111117893"/>
  </sheetPr>
  <dimension ref="A1:E56"/>
  <sheetViews>
    <sheetView zoomScale="90" zoomScaleNormal="90" workbookViewId="0">
      <selection activeCell="B13" sqref="B13"/>
    </sheetView>
  </sheetViews>
  <sheetFormatPr defaultColWidth="9.109375" defaultRowHeight="13.2" x14ac:dyDescent="0.25"/>
  <cols>
    <col min="1" max="1" width="68.5546875" style="1" customWidth="1"/>
    <col min="2" max="2" width="15.109375" style="1" customWidth="1"/>
    <col min="3" max="3" width="56" style="1" customWidth="1"/>
    <col min="4" max="4" width="13.5546875" style="106" customWidth="1"/>
    <col min="5" max="5" width="57.88671875" style="1" customWidth="1"/>
    <col min="6" max="16384" width="9.109375" style="1"/>
  </cols>
  <sheetData>
    <row r="1" spans="1:5" ht="19.2" thickBot="1" x14ac:dyDescent="0.3">
      <c r="A1" s="233" t="s">
        <v>220</v>
      </c>
      <c r="B1" s="234"/>
      <c r="C1" s="234"/>
      <c r="D1" s="234"/>
      <c r="E1" s="235"/>
    </row>
    <row r="2" spans="1:5" ht="19.2" thickBot="1" x14ac:dyDescent="0.3">
      <c r="A2" s="2"/>
      <c r="B2" s="3"/>
      <c r="C2" s="3"/>
      <c r="D2" s="4"/>
      <c r="E2" s="5"/>
    </row>
    <row r="3" spans="1:5" ht="17.25" customHeight="1" x14ac:dyDescent="0.25">
      <c r="A3" s="6" t="s">
        <v>103</v>
      </c>
      <c r="B3" s="7"/>
      <c r="C3" s="7"/>
      <c r="D3" s="7" t="s">
        <v>0</v>
      </c>
      <c r="E3" s="7" t="s">
        <v>1</v>
      </c>
    </row>
    <row r="4" spans="1:5" ht="27" customHeight="1" thickBot="1" x14ac:dyDescent="0.3">
      <c r="A4" s="8" t="s">
        <v>202</v>
      </c>
      <c r="B4" s="9"/>
      <c r="C4" s="9" t="s">
        <v>2</v>
      </c>
      <c r="D4" s="121">
        <f>'PLANILHA - RN'!D4</f>
        <v>0</v>
      </c>
      <c r="E4" s="214" t="s">
        <v>245</v>
      </c>
    </row>
    <row r="5" spans="1:5" ht="18.75" customHeight="1" thickBot="1" x14ac:dyDescent="0.3">
      <c r="A5" s="118" t="s">
        <v>243</v>
      </c>
      <c r="B5" s="11"/>
      <c r="C5" s="11"/>
      <c r="D5" s="12"/>
      <c r="E5" s="11"/>
    </row>
    <row r="6" spans="1:5" ht="17.25" customHeight="1" x14ac:dyDescent="0.25">
      <c r="A6" s="13" t="s">
        <v>246</v>
      </c>
      <c r="B6" s="7" t="s">
        <v>3</v>
      </c>
      <c r="C6" s="7" t="s">
        <v>4</v>
      </c>
      <c r="D6" s="14" t="s">
        <v>0</v>
      </c>
      <c r="E6" s="15" t="s">
        <v>5</v>
      </c>
    </row>
    <row r="7" spans="1:5" ht="17.25" customHeight="1" x14ac:dyDescent="0.25">
      <c r="A7" s="16" t="s">
        <v>106</v>
      </c>
      <c r="B7" s="77" t="s">
        <v>1</v>
      </c>
      <c r="C7" s="17" t="s">
        <v>1</v>
      </c>
      <c r="D7" s="18">
        <f>TRUNC(D4/220,2)</f>
        <v>0</v>
      </c>
      <c r="E7" s="19"/>
    </row>
    <row r="8" spans="1:5" ht="24.6" customHeight="1" x14ac:dyDescent="0.25">
      <c r="A8" s="20" t="s">
        <v>206</v>
      </c>
      <c r="B8" s="107">
        <v>1</v>
      </c>
      <c r="C8" s="21" t="s">
        <v>108</v>
      </c>
      <c r="D8" s="22">
        <f>TRUNC(0.7*($D$7)*B8,2)</f>
        <v>0</v>
      </c>
      <c r="E8" s="148" t="s">
        <v>241</v>
      </c>
    </row>
    <row r="9" spans="1:5" ht="30.75" customHeight="1" x14ac:dyDescent="0.25">
      <c r="A9" s="20" t="s">
        <v>191</v>
      </c>
      <c r="B9" s="184" t="s">
        <v>1</v>
      </c>
      <c r="C9" s="185" t="s">
        <v>192</v>
      </c>
      <c r="D9" s="22">
        <f>TRUNC(D8*(BASE!D3/BASE!C3),2)</f>
        <v>0</v>
      </c>
      <c r="E9" s="174" t="s">
        <v>193</v>
      </c>
    </row>
    <row r="10" spans="1:5" ht="16.5" customHeight="1" thickBot="1" x14ac:dyDescent="0.3">
      <c r="A10" s="24" t="s">
        <v>6</v>
      </c>
      <c r="B10" s="25" t="s">
        <v>1</v>
      </c>
      <c r="C10" s="26" t="s">
        <v>7</v>
      </c>
      <c r="D10" s="27">
        <f>SUM(D7:D9)</f>
        <v>0</v>
      </c>
      <c r="E10" s="28" t="s">
        <v>1</v>
      </c>
    </row>
    <row r="11" spans="1:5" ht="13.5" customHeight="1" thickBot="1" x14ac:dyDescent="0.3">
      <c r="A11" s="29"/>
      <c r="B11" s="30"/>
      <c r="C11" s="31"/>
      <c r="D11" s="12"/>
      <c r="E11" s="11"/>
    </row>
    <row r="12" spans="1:5" ht="16.5" customHeight="1" thickBot="1" x14ac:dyDescent="0.3">
      <c r="A12" s="225" t="s">
        <v>8</v>
      </c>
      <c r="B12" s="226"/>
      <c r="C12" s="226"/>
      <c r="D12" s="226"/>
      <c r="E12" s="227"/>
    </row>
    <row r="13" spans="1:5" ht="16.5" customHeight="1" x14ac:dyDescent="0.25">
      <c r="A13" s="13" t="s">
        <v>9</v>
      </c>
      <c r="B13" s="7" t="s">
        <v>10</v>
      </c>
      <c r="C13" s="7" t="s">
        <v>4</v>
      </c>
      <c r="D13" s="14" t="s">
        <v>0</v>
      </c>
      <c r="E13" s="15" t="s">
        <v>5</v>
      </c>
    </row>
    <row r="14" spans="1:5" ht="16.5" customHeight="1" x14ac:dyDescent="0.25">
      <c r="A14" s="16" t="s">
        <v>11</v>
      </c>
      <c r="B14" s="32">
        <v>0.2</v>
      </c>
      <c r="C14" s="17" t="s">
        <v>12</v>
      </c>
      <c r="D14" s="33">
        <f>TRUNC(B14*$D$10,2)</f>
        <v>0</v>
      </c>
      <c r="E14" s="61" t="s">
        <v>13</v>
      </c>
    </row>
    <row r="15" spans="1:5" ht="16.5" customHeight="1" x14ac:dyDescent="0.25">
      <c r="A15" s="16" t="s">
        <v>14</v>
      </c>
      <c r="B15" s="32">
        <v>0.08</v>
      </c>
      <c r="C15" s="17" t="s">
        <v>15</v>
      </c>
      <c r="D15" s="33">
        <f t="shared" ref="D15:D23" si="0">TRUNC(B15*$D$10,2)</f>
        <v>0</v>
      </c>
      <c r="E15" s="34" t="s">
        <v>16</v>
      </c>
    </row>
    <row r="16" spans="1:5" ht="17.25" customHeight="1" x14ac:dyDescent="0.25">
      <c r="A16" s="16" t="s">
        <v>17</v>
      </c>
      <c r="B16" s="32">
        <v>1.4999999999999999E-2</v>
      </c>
      <c r="C16" s="17" t="s">
        <v>18</v>
      </c>
      <c r="D16" s="33">
        <f t="shared" si="0"/>
        <v>0</v>
      </c>
      <c r="E16" s="34" t="s">
        <v>19</v>
      </c>
    </row>
    <row r="17" spans="1:5" ht="17.25" customHeight="1" x14ac:dyDescent="0.25">
      <c r="A17" s="16" t="s">
        <v>20</v>
      </c>
      <c r="B17" s="32">
        <v>0.01</v>
      </c>
      <c r="C17" s="17" t="s">
        <v>21</v>
      </c>
      <c r="D17" s="33">
        <f t="shared" si="0"/>
        <v>0</v>
      </c>
      <c r="E17" s="34" t="s">
        <v>22</v>
      </c>
    </row>
    <row r="18" spans="1:5" ht="17.25" customHeight="1" x14ac:dyDescent="0.25">
      <c r="A18" s="16" t="s">
        <v>23</v>
      </c>
      <c r="B18" s="32">
        <v>2E-3</v>
      </c>
      <c r="C18" s="17" t="s">
        <v>24</v>
      </c>
      <c r="D18" s="33">
        <f t="shared" si="0"/>
        <v>0</v>
      </c>
      <c r="E18" s="34" t="s">
        <v>25</v>
      </c>
    </row>
    <row r="19" spans="1:5" ht="17.25" customHeight="1" x14ac:dyDescent="0.25">
      <c r="A19" s="16" t="s">
        <v>26</v>
      </c>
      <c r="B19" s="32">
        <v>6.0000000000000001E-3</v>
      </c>
      <c r="C19" s="17" t="s">
        <v>27</v>
      </c>
      <c r="D19" s="33">
        <f t="shared" si="0"/>
        <v>0</v>
      </c>
      <c r="E19" s="34" t="s">
        <v>28</v>
      </c>
    </row>
    <row r="20" spans="1:5" ht="17.25" customHeight="1" x14ac:dyDescent="0.25">
      <c r="A20" s="16" t="s">
        <v>29</v>
      </c>
      <c r="B20" s="32">
        <v>2.5000000000000001E-2</v>
      </c>
      <c r="C20" s="17" t="s">
        <v>30</v>
      </c>
      <c r="D20" s="33">
        <f t="shared" si="0"/>
        <v>0</v>
      </c>
      <c r="E20" s="34" t="s">
        <v>31</v>
      </c>
    </row>
    <row r="21" spans="1:5" ht="17.25" customHeight="1" x14ac:dyDescent="0.25">
      <c r="A21" s="35" t="s">
        <v>32</v>
      </c>
      <c r="B21" s="119">
        <f>'PLANILHA - RN'!B18</f>
        <v>0</v>
      </c>
      <c r="C21" s="17" t="s">
        <v>33</v>
      </c>
      <c r="D21" s="33">
        <f t="shared" si="0"/>
        <v>0</v>
      </c>
      <c r="E21" s="36" t="s">
        <v>34</v>
      </c>
    </row>
    <row r="22" spans="1:5" ht="17.25" customHeight="1" x14ac:dyDescent="0.25">
      <c r="A22" s="78" t="s">
        <v>194</v>
      </c>
      <c r="B22" s="186">
        <f>1/12</f>
        <v>8.3333333333333329E-2</v>
      </c>
      <c r="C22" s="17" t="s">
        <v>38</v>
      </c>
      <c r="D22" s="33">
        <f t="shared" si="0"/>
        <v>0</v>
      </c>
      <c r="E22" s="34" t="s">
        <v>45</v>
      </c>
    </row>
    <row r="23" spans="1:5" ht="17.25" customHeight="1" x14ac:dyDescent="0.25">
      <c r="A23" s="78" t="s">
        <v>195</v>
      </c>
      <c r="B23" s="186">
        <f>(1/3)/12</f>
        <v>2.7777777777777776E-2</v>
      </c>
      <c r="C23" s="17" t="s">
        <v>196</v>
      </c>
      <c r="D23" s="33">
        <f t="shared" si="0"/>
        <v>0</v>
      </c>
      <c r="E23" s="34" t="s">
        <v>45</v>
      </c>
    </row>
    <row r="24" spans="1:5" ht="17.25" customHeight="1" thickBot="1" x14ac:dyDescent="0.3">
      <c r="A24" s="24" t="s">
        <v>35</v>
      </c>
      <c r="B24" s="37">
        <f>SUM(B14:B23)</f>
        <v>0.44911111111111118</v>
      </c>
      <c r="C24" s="25" t="s">
        <v>7</v>
      </c>
      <c r="D24" s="38">
        <f>SUM(D14:D23)</f>
        <v>0</v>
      </c>
      <c r="E24" s="28" t="s">
        <v>1</v>
      </c>
    </row>
    <row r="25" spans="1:5" ht="13.8" thickBot="1" x14ac:dyDescent="0.3">
      <c r="A25" s="10"/>
      <c r="B25" s="11"/>
      <c r="C25" s="11"/>
      <c r="D25" s="12"/>
      <c r="E25" s="39"/>
    </row>
    <row r="26" spans="1:5" ht="15.75" customHeight="1" x14ac:dyDescent="0.25">
      <c r="A26" s="13" t="s">
        <v>36</v>
      </c>
      <c r="B26" s="7" t="s">
        <v>10</v>
      </c>
      <c r="C26" s="7" t="s">
        <v>4</v>
      </c>
      <c r="D26" s="14" t="s">
        <v>0</v>
      </c>
      <c r="E26" s="15" t="s">
        <v>5</v>
      </c>
    </row>
    <row r="27" spans="1:5" ht="15.75" customHeight="1" x14ac:dyDescent="0.25">
      <c r="A27" s="16" t="s">
        <v>37</v>
      </c>
      <c r="B27" s="32">
        <f>(1/12)</f>
        <v>8.3333333333333329E-2</v>
      </c>
      <c r="C27" s="17" t="s">
        <v>38</v>
      </c>
      <c r="D27" s="33">
        <f>TRUNC(B27*$D$10,2)</f>
        <v>0</v>
      </c>
      <c r="E27" s="34" t="s">
        <v>39</v>
      </c>
    </row>
    <row r="28" spans="1:5" ht="15.75" customHeight="1" x14ac:dyDescent="0.25">
      <c r="A28" s="20" t="s">
        <v>40</v>
      </c>
      <c r="B28" s="40">
        <f>B24*B27</f>
        <v>3.7425925925925932E-2</v>
      </c>
      <c r="C28" s="77" t="s">
        <v>41</v>
      </c>
      <c r="D28" s="33">
        <f>TRUNC(B28*$D$10,2)</f>
        <v>0</v>
      </c>
      <c r="E28" s="41" t="s">
        <v>42</v>
      </c>
    </row>
    <row r="29" spans="1:5" ht="16.5" customHeight="1" thickBot="1" x14ac:dyDescent="0.3">
      <c r="A29" s="24" t="s">
        <v>43</v>
      </c>
      <c r="B29" s="37">
        <f>SUM(B27:B28)</f>
        <v>0.12075925925925926</v>
      </c>
      <c r="C29" s="25" t="s">
        <v>7</v>
      </c>
      <c r="D29" s="38">
        <f>SUM(D27:D28)</f>
        <v>0</v>
      </c>
      <c r="E29" s="28" t="s">
        <v>1</v>
      </c>
    </row>
    <row r="30" spans="1:5" ht="13.8" thickBot="1" x14ac:dyDescent="0.3">
      <c r="A30" s="42"/>
      <c r="B30" s="43"/>
      <c r="C30" s="43"/>
      <c r="D30" s="44"/>
      <c r="E30" s="45"/>
    </row>
    <row r="31" spans="1:5" ht="16.5" customHeight="1" thickBot="1" x14ac:dyDescent="0.3">
      <c r="A31" s="71" t="s">
        <v>64</v>
      </c>
      <c r="B31" s="72">
        <f>SUM(B29,B24)</f>
        <v>0.56987037037037047</v>
      </c>
      <c r="C31" s="73" t="s">
        <v>105</v>
      </c>
      <c r="D31" s="74">
        <f>SUM(D24,D29)</f>
        <v>0</v>
      </c>
      <c r="E31" s="75" t="s">
        <v>1</v>
      </c>
    </row>
    <row r="32" spans="1:5" ht="13.8" thickBot="1" x14ac:dyDescent="0.3">
      <c r="A32" s="11"/>
      <c r="B32" s="11"/>
      <c r="C32" s="11"/>
      <c r="D32" s="76"/>
      <c r="E32" s="11"/>
    </row>
    <row r="33" spans="1:5" ht="16.5" customHeight="1" x14ac:dyDescent="0.25">
      <c r="A33" s="225" t="s">
        <v>122</v>
      </c>
      <c r="B33" s="226"/>
      <c r="C33" s="226"/>
      <c r="D33" s="226"/>
      <c r="E33" s="227"/>
    </row>
    <row r="34" spans="1:5" ht="31.5" customHeight="1" x14ac:dyDescent="0.25">
      <c r="A34" s="20" t="s">
        <v>100</v>
      </c>
      <c r="B34" s="172">
        <f>'PLANILHA - RN'!B73</f>
        <v>0</v>
      </c>
      <c r="C34" s="77" t="s">
        <v>72</v>
      </c>
      <c r="D34" s="22">
        <f>B34</f>
        <v>0</v>
      </c>
      <c r="E34" s="80" t="s">
        <v>73</v>
      </c>
    </row>
    <row r="35" spans="1:5" ht="17.25" customHeight="1" thickBot="1" x14ac:dyDescent="0.3">
      <c r="A35" s="24" t="s">
        <v>74</v>
      </c>
      <c r="B35" s="140"/>
      <c r="C35" s="25" t="s">
        <v>7</v>
      </c>
      <c r="D35" s="38">
        <f>D34</f>
        <v>0</v>
      </c>
      <c r="E35" s="28" t="s">
        <v>1</v>
      </c>
    </row>
    <row r="36" spans="1:5" x14ac:dyDescent="0.25">
      <c r="A36" s="82" t="s">
        <v>224</v>
      </c>
      <c r="B36" s="11"/>
      <c r="C36" s="11"/>
      <c r="D36" s="12"/>
      <c r="E36" s="11"/>
    </row>
    <row r="37" spans="1:5" ht="13.8" thickBot="1" x14ac:dyDescent="0.3">
      <c r="A37" s="11"/>
      <c r="B37" s="11"/>
      <c r="C37" s="11"/>
      <c r="D37" s="76"/>
      <c r="E37" s="11"/>
    </row>
    <row r="38" spans="1:5" ht="26.25" customHeight="1" thickBot="1" x14ac:dyDescent="0.3">
      <c r="A38" s="88" t="s">
        <v>123</v>
      </c>
      <c r="B38" s="89" t="s">
        <v>1</v>
      </c>
      <c r="C38" s="89" t="s">
        <v>76</v>
      </c>
      <c r="D38" s="90">
        <f>SUM(D10,D31,D35)</f>
        <v>0</v>
      </c>
      <c r="E38" s="75" t="s">
        <v>1</v>
      </c>
    </row>
    <row r="39" spans="1:5" ht="13.8" thickBot="1" x14ac:dyDescent="0.3"/>
    <row r="40" spans="1:5" ht="17.25" customHeight="1" x14ac:dyDescent="0.25">
      <c r="A40" s="13" t="s">
        <v>77</v>
      </c>
      <c r="B40" s="7" t="s">
        <v>10</v>
      </c>
      <c r="C40" s="7" t="s">
        <v>4</v>
      </c>
      <c r="D40" s="14" t="s">
        <v>0</v>
      </c>
      <c r="E40" s="15" t="s">
        <v>5</v>
      </c>
    </row>
    <row r="41" spans="1:5" ht="17.25" customHeight="1" x14ac:dyDescent="0.25">
      <c r="A41" s="16" t="s">
        <v>78</v>
      </c>
      <c r="B41" s="119">
        <f>'PLANILHA - RN'!B82</f>
        <v>0</v>
      </c>
      <c r="C41" s="219" t="s">
        <v>79</v>
      </c>
      <c r="D41" s="95">
        <f>TRUNC(B41*D38,2)</f>
        <v>0</v>
      </c>
      <c r="E41" s="96" t="s">
        <v>1</v>
      </c>
    </row>
    <row r="42" spans="1:5" ht="30.75" customHeight="1" x14ac:dyDescent="0.25">
      <c r="A42" s="16" t="s">
        <v>104</v>
      </c>
      <c r="B42" s="119">
        <f>'PLANILHA - RN'!B83</f>
        <v>0</v>
      </c>
      <c r="C42" s="220"/>
      <c r="D42" s="95">
        <f>TRUNC(B42*D38,2)</f>
        <v>0</v>
      </c>
      <c r="E42" s="175" t="s">
        <v>1</v>
      </c>
    </row>
    <row r="43" spans="1:5" ht="16.5" customHeight="1" thickBot="1" x14ac:dyDescent="0.3">
      <c r="A43" s="24" t="s">
        <v>80</v>
      </c>
      <c r="B43" s="37">
        <f>SUM(B41:B42)</f>
        <v>0</v>
      </c>
      <c r="C43" s="25" t="s">
        <v>7</v>
      </c>
      <c r="D43" s="27">
        <f>SUM(D41:D42)</f>
        <v>0</v>
      </c>
      <c r="E43" s="28" t="s">
        <v>1</v>
      </c>
    </row>
    <row r="44" spans="1:5" ht="24" customHeight="1" thickBot="1" x14ac:dyDescent="0.35">
      <c r="A44" s="223"/>
      <c r="B44" s="224"/>
      <c r="C44" s="224"/>
      <c r="D44" s="224"/>
      <c r="E44" s="224"/>
    </row>
    <row r="45" spans="1:5" ht="16.5" customHeight="1" x14ac:dyDescent="0.25">
      <c r="A45" s="98" t="s">
        <v>81</v>
      </c>
      <c r="B45" s="7" t="s">
        <v>10</v>
      </c>
      <c r="C45" s="7" t="s">
        <v>4</v>
      </c>
      <c r="D45" s="14" t="s">
        <v>0</v>
      </c>
      <c r="E45" s="15" t="s">
        <v>5</v>
      </c>
    </row>
    <row r="46" spans="1:5" ht="16.5" customHeight="1" x14ac:dyDescent="0.25">
      <c r="A46" s="16" t="s">
        <v>82</v>
      </c>
      <c r="B46" s="119">
        <f>'PLANILHA - RN'!B87</f>
        <v>0</v>
      </c>
      <c r="C46" s="221" t="s">
        <v>83</v>
      </c>
      <c r="D46" s="33">
        <f>TRUNC(((($D$38+$D$43)/(1-(($B$46+$B$47+$B$48)))))*B46,2)</f>
        <v>0</v>
      </c>
      <c r="E46" s="52" t="s">
        <v>84</v>
      </c>
    </row>
    <row r="47" spans="1:5" ht="16.5" customHeight="1" x14ac:dyDescent="0.25">
      <c r="A47" s="16" t="s">
        <v>85</v>
      </c>
      <c r="B47" s="119">
        <f>'PLANILHA - RN'!B88</f>
        <v>0</v>
      </c>
      <c r="C47" s="222"/>
      <c r="D47" s="33">
        <f>TRUNC(((($D$38+$D$43)/(1-(($B$46+$B$47+$B$48)))))*B47,2)</f>
        <v>0</v>
      </c>
      <c r="E47" s="97" t="s">
        <v>86</v>
      </c>
    </row>
    <row r="48" spans="1:5" ht="16.5" customHeight="1" x14ac:dyDescent="0.25">
      <c r="A48" s="16" t="s">
        <v>87</v>
      </c>
      <c r="B48" s="119">
        <f>'PLANILHA - RN'!B89</f>
        <v>0</v>
      </c>
      <c r="C48" s="222"/>
      <c r="D48" s="33">
        <f>TRUNC(((($D$38+$D$43)/(1-(($B$46+$B$47+$B$48)))))*B48,2)</f>
        <v>0</v>
      </c>
      <c r="E48" s="52" t="s">
        <v>88</v>
      </c>
    </row>
    <row r="49" spans="1:5" ht="16.5" customHeight="1" thickBot="1" x14ac:dyDescent="0.3">
      <c r="A49" s="24" t="s">
        <v>89</v>
      </c>
      <c r="B49" s="37">
        <f>SUM(B46:B48)</f>
        <v>0</v>
      </c>
      <c r="C49" s="25" t="s">
        <v>7</v>
      </c>
      <c r="D49" s="38">
        <f>SUM(D46:D48)</f>
        <v>0</v>
      </c>
      <c r="E49" s="28" t="s">
        <v>1</v>
      </c>
    </row>
    <row r="50" spans="1:5" ht="13.8" thickBot="1" x14ac:dyDescent="0.3">
      <c r="A50" s="10"/>
      <c r="B50" s="11"/>
      <c r="C50" s="11"/>
      <c r="D50" s="12"/>
      <c r="E50" s="11"/>
    </row>
    <row r="51" spans="1:5" ht="16.5" customHeight="1" thickBot="1" x14ac:dyDescent="0.3">
      <c r="A51" s="99" t="s">
        <v>125</v>
      </c>
      <c r="B51" s="100" t="s">
        <v>1</v>
      </c>
      <c r="C51" s="7" t="s">
        <v>4</v>
      </c>
      <c r="D51" s="101" t="s">
        <v>90</v>
      </c>
      <c r="E51" s="15" t="s">
        <v>91</v>
      </c>
    </row>
    <row r="52" spans="1:5" ht="16.5" customHeight="1" thickBot="1" x14ac:dyDescent="0.3">
      <c r="A52" s="135" t="s">
        <v>207</v>
      </c>
      <c r="B52" s="103" t="s">
        <v>1</v>
      </c>
      <c r="C52" s="103" t="s">
        <v>92</v>
      </c>
      <c r="D52" s="104">
        <f>SUM(D38,D43,D49)</f>
        <v>0</v>
      </c>
      <c r="E52" s="105">
        <f>D52*12</f>
        <v>0</v>
      </c>
    </row>
    <row r="53" spans="1:5" ht="13.8" thickBot="1" x14ac:dyDescent="0.3"/>
    <row r="54" spans="1:5" ht="16.5" customHeight="1" thickBot="1" x14ac:dyDescent="0.3">
      <c r="A54" s="99" t="s">
        <v>107</v>
      </c>
      <c r="B54" s="100" t="s">
        <v>1</v>
      </c>
      <c r="C54" s="7" t="s">
        <v>4</v>
      </c>
      <c r="D54" s="101" t="s">
        <v>90</v>
      </c>
      <c r="E54" s="15" t="s">
        <v>91</v>
      </c>
    </row>
    <row r="55" spans="1:5" ht="16.5" customHeight="1" thickBot="1" x14ac:dyDescent="0.3">
      <c r="A55" s="102" t="s">
        <v>205</v>
      </c>
      <c r="B55" s="103" t="s">
        <v>1</v>
      </c>
      <c r="C55" s="134" t="s">
        <v>124</v>
      </c>
      <c r="D55" s="104">
        <f>TRUNC(D52*10,2)</f>
        <v>0</v>
      </c>
      <c r="E55" s="105">
        <f>D55*12</f>
        <v>0</v>
      </c>
    </row>
    <row r="56" spans="1:5" ht="36" customHeight="1" x14ac:dyDescent="0.25">
      <c r="A56" s="133" t="s">
        <v>121</v>
      </c>
    </row>
  </sheetData>
  <sheetProtection algorithmName="SHA-512" hashValue="3fs6JmkpRklTfboLPTafShUQr2lqslDlK0qOzREuisJQ1kUQ0jnPgXnma8JbhHsI/7vTc3yrCoyMPEVTfnQmgw==" saltValue="bG5CB+XhWbAVqZJHpAhMFA==" spinCount="100000" sheet="1" objects="1" scenarios="1"/>
  <mergeCells count="6">
    <mergeCell ref="C41:C42"/>
    <mergeCell ref="A44:E44"/>
    <mergeCell ref="C46:C48"/>
    <mergeCell ref="A1:E1"/>
    <mergeCell ref="A12:E12"/>
    <mergeCell ref="A33:E33"/>
  </mergeCells>
  <conditionalFormatting sqref="B42">
    <cfRule type="expression" dxfId="15" priority="7">
      <formula>ISBLANK($B42)=TRUE</formula>
    </cfRule>
  </conditionalFormatting>
  <conditionalFormatting sqref="B46">
    <cfRule type="expression" dxfId="14" priority="6">
      <formula>ISBLANK($B46)=TRUE</formula>
    </cfRule>
  </conditionalFormatting>
  <conditionalFormatting sqref="B47">
    <cfRule type="expression" dxfId="13" priority="5">
      <formula>ISBLANK($B47)=TRUE</formula>
    </cfRule>
  </conditionalFormatting>
  <conditionalFormatting sqref="B48">
    <cfRule type="expression" dxfId="12" priority="4">
      <formula>ISBLANK($B48)=TRUE</formula>
    </cfRule>
  </conditionalFormatting>
  <conditionalFormatting sqref="B21:B23">
    <cfRule type="expression" dxfId="11" priority="2">
      <formula>ISBLANK($B21)=TRUE</formula>
    </cfRule>
  </conditionalFormatting>
  <conditionalFormatting sqref="B41">
    <cfRule type="expression" dxfId="10" priority="8">
      <formula>ISBLANK($B41)=TRUE</formula>
    </cfRule>
  </conditionalFormatting>
  <conditionalFormatting sqref="D4">
    <cfRule type="expression" dxfId="9" priority="3">
      <formula>ISBLANK($D4)=TRUE</formula>
    </cfRule>
  </conditionalFormatting>
  <conditionalFormatting sqref="B34">
    <cfRule type="expression" dxfId="8" priority="1">
      <formula>ISBLANK($B34)</formula>
    </cfRule>
  </conditionalFormatting>
  <pageMargins left="0.511811024" right="0.511811024" top="0.78740157499999996" bottom="0.78740157499999996" header="0.31496062000000002" footer="0.31496062000000002"/>
  <pageSetup paperSize="9" scale="4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6" tint="-0.499984740745262"/>
  </sheetPr>
  <dimension ref="A1:E56"/>
  <sheetViews>
    <sheetView zoomScale="90" zoomScaleNormal="90" workbookViewId="0">
      <selection activeCell="B13" sqref="B13"/>
    </sheetView>
  </sheetViews>
  <sheetFormatPr defaultColWidth="9.109375" defaultRowHeight="13.2" x14ac:dyDescent="0.25"/>
  <cols>
    <col min="1" max="1" width="68.5546875" style="1" customWidth="1"/>
    <col min="2" max="2" width="15.109375" style="1" customWidth="1"/>
    <col min="3" max="3" width="56" style="1" customWidth="1"/>
    <col min="4" max="4" width="13.5546875" style="106" customWidth="1"/>
    <col min="5" max="5" width="57.88671875" style="1" customWidth="1"/>
    <col min="6" max="16384" width="9.109375" style="1"/>
  </cols>
  <sheetData>
    <row r="1" spans="1:5" ht="19.2" thickBot="1" x14ac:dyDescent="0.3">
      <c r="A1" s="233" t="s">
        <v>219</v>
      </c>
      <c r="B1" s="234"/>
      <c r="C1" s="234"/>
      <c r="D1" s="234"/>
      <c r="E1" s="235"/>
    </row>
    <row r="2" spans="1:5" ht="19.2" thickBot="1" x14ac:dyDescent="0.3">
      <c r="A2" s="2"/>
      <c r="B2" s="3"/>
      <c r="C2" s="3"/>
      <c r="D2" s="4"/>
      <c r="E2" s="5"/>
    </row>
    <row r="3" spans="1:5" ht="17.25" customHeight="1" x14ac:dyDescent="0.25">
      <c r="A3" s="6" t="s">
        <v>103</v>
      </c>
      <c r="B3" s="7"/>
      <c r="C3" s="7"/>
      <c r="D3" s="7" t="s">
        <v>0</v>
      </c>
      <c r="E3" s="7" t="s">
        <v>1</v>
      </c>
    </row>
    <row r="4" spans="1:5" ht="27" customHeight="1" thickBot="1" x14ac:dyDescent="0.3">
      <c r="A4" s="8" t="s">
        <v>202</v>
      </c>
      <c r="B4" s="9"/>
      <c r="C4" s="9" t="s">
        <v>2</v>
      </c>
      <c r="D4" s="121">
        <f>'PLANILHA - RN'!D4</f>
        <v>0</v>
      </c>
      <c r="E4" s="214" t="s">
        <v>245</v>
      </c>
    </row>
    <row r="5" spans="1:5" ht="18.75" customHeight="1" thickBot="1" x14ac:dyDescent="0.3">
      <c r="A5" s="118" t="s">
        <v>244</v>
      </c>
      <c r="B5" s="11"/>
      <c r="C5" s="11"/>
      <c r="D5" s="12"/>
      <c r="E5" s="11"/>
    </row>
    <row r="6" spans="1:5" ht="17.25" customHeight="1" x14ac:dyDescent="0.25">
      <c r="A6" s="13" t="s">
        <v>246</v>
      </c>
      <c r="B6" s="7" t="s">
        <v>3</v>
      </c>
      <c r="C6" s="7" t="s">
        <v>4</v>
      </c>
      <c r="D6" s="14" t="s">
        <v>0</v>
      </c>
      <c r="E6" s="15" t="s">
        <v>5</v>
      </c>
    </row>
    <row r="7" spans="1:5" ht="17.25" customHeight="1" x14ac:dyDescent="0.25">
      <c r="A7" s="16" t="s">
        <v>106</v>
      </c>
      <c r="B7" s="77" t="s">
        <v>1</v>
      </c>
      <c r="C7" s="17" t="s">
        <v>1</v>
      </c>
      <c r="D7" s="18">
        <f>TRUNC(D4/220,2)</f>
        <v>0</v>
      </c>
      <c r="E7" s="19"/>
    </row>
    <row r="8" spans="1:5" ht="26.4" customHeight="1" x14ac:dyDescent="0.25">
      <c r="A8" s="20" t="s">
        <v>210</v>
      </c>
      <c r="B8" s="107">
        <v>1</v>
      </c>
      <c r="C8" s="21" t="s">
        <v>108</v>
      </c>
      <c r="D8" s="22">
        <f>TRUNC(0.95*($D$7)*B8,2)</f>
        <v>0</v>
      </c>
      <c r="E8" s="148" t="s">
        <v>241</v>
      </c>
    </row>
    <row r="9" spans="1:5" ht="30.75" customHeight="1" x14ac:dyDescent="0.25">
      <c r="A9" s="20" t="s">
        <v>191</v>
      </c>
      <c r="B9" s="184" t="s">
        <v>1</v>
      </c>
      <c r="C9" s="185" t="s">
        <v>192</v>
      </c>
      <c r="D9" s="22">
        <f>TRUNC(D8*(BASE!D3/BASE!C3),2)</f>
        <v>0</v>
      </c>
      <c r="E9" s="174" t="s">
        <v>193</v>
      </c>
    </row>
    <row r="10" spans="1:5" ht="16.5" customHeight="1" thickBot="1" x14ac:dyDescent="0.3">
      <c r="A10" s="24" t="s">
        <v>6</v>
      </c>
      <c r="B10" s="25" t="s">
        <v>1</v>
      </c>
      <c r="C10" s="26" t="s">
        <v>7</v>
      </c>
      <c r="D10" s="27">
        <f>SUM(D7:D9)</f>
        <v>0</v>
      </c>
      <c r="E10" s="28" t="s">
        <v>1</v>
      </c>
    </row>
    <row r="11" spans="1:5" ht="13.5" customHeight="1" thickBot="1" x14ac:dyDescent="0.3">
      <c r="A11" s="29"/>
      <c r="B11" s="30"/>
      <c r="C11" s="31"/>
      <c r="D11" s="12"/>
      <c r="E11" s="11"/>
    </row>
    <row r="12" spans="1:5" ht="16.5" customHeight="1" thickBot="1" x14ac:dyDescent="0.3">
      <c r="A12" s="225" t="s">
        <v>8</v>
      </c>
      <c r="B12" s="226"/>
      <c r="C12" s="226"/>
      <c r="D12" s="226"/>
      <c r="E12" s="227"/>
    </row>
    <row r="13" spans="1:5" ht="16.5" customHeight="1" x14ac:dyDescent="0.25">
      <c r="A13" s="13" t="s">
        <v>9</v>
      </c>
      <c r="B13" s="7" t="s">
        <v>10</v>
      </c>
      <c r="C13" s="7" t="s">
        <v>4</v>
      </c>
      <c r="D13" s="14" t="s">
        <v>0</v>
      </c>
      <c r="E13" s="15" t="s">
        <v>5</v>
      </c>
    </row>
    <row r="14" spans="1:5" ht="16.5" customHeight="1" x14ac:dyDescent="0.25">
      <c r="A14" s="16" t="s">
        <v>11</v>
      </c>
      <c r="B14" s="32">
        <v>0.2</v>
      </c>
      <c r="C14" s="17" t="s">
        <v>12</v>
      </c>
      <c r="D14" s="33">
        <f>TRUNC(B14*$D$10,2)</f>
        <v>0</v>
      </c>
      <c r="E14" s="61" t="s">
        <v>13</v>
      </c>
    </row>
    <row r="15" spans="1:5" ht="16.5" customHeight="1" x14ac:dyDescent="0.25">
      <c r="A15" s="16" t="s">
        <v>14</v>
      </c>
      <c r="B15" s="32">
        <v>0.08</v>
      </c>
      <c r="C15" s="17" t="s">
        <v>15</v>
      </c>
      <c r="D15" s="33">
        <f t="shared" ref="D15:D23" si="0">TRUNC(B15*$D$10,2)</f>
        <v>0</v>
      </c>
      <c r="E15" s="34" t="s">
        <v>16</v>
      </c>
    </row>
    <row r="16" spans="1:5" ht="17.25" customHeight="1" x14ac:dyDescent="0.25">
      <c r="A16" s="16" t="s">
        <v>17</v>
      </c>
      <c r="B16" s="32">
        <v>1.4999999999999999E-2</v>
      </c>
      <c r="C16" s="17" t="s">
        <v>18</v>
      </c>
      <c r="D16" s="33">
        <f t="shared" si="0"/>
        <v>0</v>
      </c>
      <c r="E16" s="34" t="s">
        <v>19</v>
      </c>
    </row>
    <row r="17" spans="1:5" ht="17.25" customHeight="1" x14ac:dyDescent="0.25">
      <c r="A17" s="16" t="s">
        <v>20</v>
      </c>
      <c r="B17" s="32">
        <v>0.01</v>
      </c>
      <c r="C17" s="17" t="s">
        <v>21</v>
      </c>
      <c r="D17" s="33">
        <f t="shared" si="0"/>
        <v>0</v>
      </c>
      <c r="E17" s="34" t="s">
        <v>22</v>
      </c>
    </row>
    <row r="18" spans="1:5" ht="17.25" customHeight="1" x14ac:dyDescent="0.25">
      <c r="A18" s="16" t="s">
        <v>23</v>
      </c>
      <c r="B18" s="32">
        <v>2E-3</v>
      </c>
      <c r="C18" s="17" t="s">
        <v>24</v>
      </c>
      <c r="D18" s="33">
        <f t="shared" si="0"/>
        <v>0</v>
      </c>
      <c r="E18" s="34" t="s">
        <v>25</v>
      </c>
    </row>
    <row r="19" spans="1:5" ht="17.25" customHeight="1" x14ac:dyDescent="0.25">
      <c r="A19" s="16" t="s">
        <v>26</v>
      </c>
      <c r="B19" s="32">
        <v>6.0000000000000001E-3</v>
      </c>
      <c r="C19" s="17" t="s">
        <v>27</v>
      </c>
      <c r="D19" s="33">
        <f t="shared" si="0"/>
        <v>0</v>
      </c>
      <c r="E19" s="34" t="s">
        <v>28</v>
      </c>
    </row>
    <row r="20" spans="1:5" ht="17.25" customHeight="1" x14ac:dyDescent="0.25">
      <c r="A20" s="16" t="s">
        <v>29</v>
      </c>
      <c r="B20" s="32">
        <v>2.5000000000000001E-2</v>
      </c>
      <c r="C20" s="17" t="s">
        <v>30</v>
      </c>
      <c r="D20" s="33">
        <f t="shared" si="0"/>
        <v>0</v>
      </c>
      <c r="E20" s="34" t="s">
        <v>31</v>
      </c>
    </row>
    <row r="21" spans="1:5" ht="17.25" customHeight="1" x14ac:dyDescent="0.25">
      <c r="A21" s="35" t="s">
        <v>32</v>
      </c>
      <c r="B21" s="119">
        <f>'PLANILHA - RN'!B18</f>
        <v>0</v>
      </c>
      <c r="C21" s="17" t="s">
        <v>33</v>
      </c>
      <c r="D21" s="33">
        <f t="shared" si="0"/>
        <v>0</v>
      </c>
      <c r="E21" s="36" t="s">
        <v>34</v>
      </c>
    </row>
    <row r="22" spans="1:5" ht="17.25" customHeight="1" x14ac:dyDescent="0.25">
      <c r="A22" s="78" t="s">
        <v>194</v>
      </c>
      <c r="B22" s="186">
        <f>1/12</f>
        <v>8.3333333333333329E-2</v>
      </c>
      <c r="C22" s="17" t="s">
        <v>38</v>
      </c>
      <c r="D22" s="33">
        <f t="shared" si="0"/>
        <v>0</v>
      </c>
      <c r="E22" s="34" t="s">
        <v>45</v>
      </c>
    </row>
    <row r="23" spans="1:5" ht="17.25" customHeight="1" x14ac:dyDescent="0.25">
      <c r="A23" s="78" t="s">
        <v>195</v>
      </c>
      <c r="B23" s="186">
        <f>(1/3)/12</f>
        <v>2.7777777777777776E-2</v>
      </c>
      <c r="C23" s="17" t="s">
        <v>196</v>
      </c>
      <c r="D23" s="33">
        <f t="shared" si="0"/>
        <v>0</v>
      </c>
      <c r="E23" s="34" t="s">
        <v>45</v>
      </c>
    </row>
    <row r="24" spans="1:5" ht="17.25" customHeight="1" thickBot="1" x14ac:dyDescent="0.3">
      <c r="A24" s="24" t="s">
        <v>35</v>
      </c>
      <c r="B24" s="37">
        <f>SUM(B14:B23)</f>
        <v>0.44911111111111118</v>
      </c>
      <c r="C24" s="25" t="s">
        <v>7</v>
      </c>
      <c r="D24" s="38">
        <f>SUM(D14:D23)</f>
        <v>0</v>
      </c>
      <c r="E24" s="28" t="s">
        <v>1</v>
      </c>
    </row>
    <row r="25" spans="1:5" ht="13.8" thickBot="1" x14ac:dyDescent="0.3">
      <c r="A25" s="10"/>
      <c r="B25" s="11"/>
      <c r="C25" s="11"/>
      <c r="D25" s="12"/>
      <c r="E25" s="39"/>
    </row>
    <row r="26" spans="1:5" ht="15.75" customHeight="1" x14ac:dyDescent="0.25">
      <c r="A26" s="13" t="s">
        <v>36</v>
      </c>
      <c r="B26" s="7" t="s">
        <v>10</v>
      </c>
      <c r="C26" s="7" t="s">
        <v>4</v>
      </c>
      <c r="D26" s="14" t="s">
        <v>0</v>
      </c>
      <c r="E26" s="15" t="s">
        <v>5</v>
      </c>
    </row>
    <row r="27" spans="1:5" ht="15.75" customHeight="1" x14ac:dyDescent="0.25">
      <c r="A27" s="16" t="s">
        <v>37</v>
      </c>
      <c r="B27" s="32">
        <f>(1/12)</f>
        <v>8.3333333333333329E-2</v>
      </c>
      <c r="C27" s="17" t="s">
        <v>38</v>
      </c>
      <c r="D27" s="33">
        <f>TRUNC(B27*$D$10,2)</f>
        <v>0</v>
      </c>
      <c r="E27" s="34" t="s">
        <v>39</v>
      </c>
    </row>
    <row r="28" spans="1:5" ht="15.75" customHeight="1" x14ac:dyDescent="0.25">
      <c r="A28" s="20" t="s">
        <v>40</v>
      </c>
      <c r="B28" s="40">
        <f>B24*B27</f>
        <v>3.7425925925925932E-2</v>
      </c>
      <c r="C28" s="77" t="s">
        <v>41</v>
      </c>
      <c r="D28" s="33">
        <f>TRUNC(B28*$D$10,2)</f>
        <v>0</v>
      </c>
      <c r="E28" s="41" t="s">
        <v>42</v>
      </c>
    </row>
    <row r="29" spans="1:5" ht="16.5" customHeight="1" thickBot="1" x14ac:dyDescent="0.3">
      <c r="A29" s="24" t="s">
        <v>43</v>
      </c>
      <c r="B29" s="37">
        <f>SUM(B27:B28)</f>
        <v>0.12075925925925926</v>
      </c>
      <c r="C29" s="25" t="s">
        <v>7</v>
      </c>
      <c r="D29" s="38">
        <f>SUM(D27:D28)</f>
        <v>0</v>
      </c>
      <c r="E29" s="28" t="s">
        <v>1</v>
      </c>
    </row>
    <row r="30" spans="1:5" ht="13.8" thickBot="1" x14ac:dyDescent="0.3">
      <c r="A30" s="42"/>
      <c r="B30" s="43"/>
      <c r="C30" s="43"/>
      <c r="D30" s="44"/>
      <c r="E30" s="45"/>
    </row>
    <row r="31" spans="1:5" ht="16.5" customHeight="1" thickBot="1" x14ac:dyDescent="0.3">
      <c r="A31" s="71" t="s">
        <v>64</v>
      </c>
      <c r="B31" s="72">
        <f>SUM(B29,B24)</f>
        <v>0.56987037037037047</v>
      </c>
      <c r="C31" s="73" t="s">
        <v>105</v>
      </c>
      <c r="D31" s="74">
        <f>SUM(D24,D29)</f>
        <v>0</v>
      </c>
      <c r="E31" s="75" t="s">
        <v>1</v>
      </c>
    </row>
    <row r="32" spans="1:5" ht="13.8" thickBot="1" x14ac:dyDescent="0.3">
      <c r="A32" s="11"/>
      <c r="B32" s="11"/>
      <c r="C32" s="11"/>
      <c r="D32" s="76"/>
      <c r="E32" s="11"/>
    </row>
    <row r="33" spans="1:5" ht="16.5" customHeight="1" x14ac:dyDescent="0.25">
      <c r="A33" s="225" t="s">
        <v>122</v>
      </c>
      <c r="B33" s="226"/>
      <c r="C33" s="226"/>
      <c r="D33" s="226"/>
      <c r="E33" s="227"/>
    </row>
    <row r="34" spans="1:5" ht="31.5" customHeight="1" x14ac:dyDescent="0.25">
      <c r="A34" s="20" t="s">
        <v>100</v>
      </c>
      <c r="B34" s="172">
        <f>'PLANILHA - RN'!B73</f>
        <v>0</v>
      </c>
      <c r="C34" s="77" t="s">
        <v>72</v>
      </c>
      <c r="D34" s="22">
        <f>B34</f>
        <v>0</v>
      </c>
      <c r="E34" s="80" t="s">
        <v>73</v>
      </c>
    </row>
    <row r="35" spans="1:5" ht="17.25" customHeight="1" thickBot="1" x14ac:dyDescent="0.3">
      <c r="A35" s="24" t="s">
        <v>74</v>
      </c>
      <c r="B35" s="140"/>
      <c r="C35" s="25" t="s">
        <v>7</v>
      </c>
      <c r="D35" s="38">
        <f>D34</f>
        <v>0</v>
      </c>
      <c r="E35" s="28" t="s">
        <v>1</v>
      </c>
    </row>
    <row r="36" spans="1:5" x14ac:dyDescent="0.25">
      <c r="A36" s="82" t="s">
        <v>223</v>
      </c>
      <c r="B36" s="11"/>
      <c r="C36" s="11"/>
      <c r="D36" s="12"/>
      <c r="E36" s="11"/>
    </row>
    <row r="37" spans="1:5" ht="13.8" thickBot="1" x14ac:dyDescent="0.3">
      <c r="A37" s="11"/>
      <c r="B37" s="11"/>
      <c r="C37" s="11"/>
      <c r="D37" s="76"/>
      <c r="E37" s="11"/>
    </row>
    <row r="38" spans="1:5" ht="26.25" customHeight="1" thickBot="1" x14ac:dyDescent="0.3">
      <c r="A38" s="88" t="s">
        <v>123</v>
      </c>
      <c r="B38" s="89" t="s">
        <v>1</v>
      </c>
      <c r="C38" s="89" t="s">
        <v>76</v>
      </c>
      <c r="D38" s="90">
        <f>SUM(D10,D31,D35)</f>
        <v>0</v>
      </c>
      <c r="E38" s="75" t="s">
        <v>1</v>
      </c>
    </row>
    <row r="39" spans="1:5" ht="13.8" thickBot="1" x14ac:dyDescent="0.3"/>
    <row r="40" spans="1:5" ht="17.25" customHeight="1" x14ac:dyDescent="0.25">
      <c r="A40" s="13" t="s">
        <v>77</v>
      </c>
      <c r="B40" s="7" t="s">
        <v>10</v>
      </c>
      <c r="C40" s="7" t="s">
        <v>4</v>
      </c>
      <c r="D40" s="14" t="s">
        <v>0</v>
      </c>
      <c r="E40" s="15" t="s">
        <v>5</v>
      </c>
    </row>
    <row r="41" spans="1:5" ht="17.25" customHeight="1" x14ac:dyDescent="0.25">
      <c r="A41" s="16" t="s">
        <v>78</v>
      </c>
      <c r="B41" s="119">
        <f>'PLANILHA - RN'!B82</f>
        <v>0</v>
      </c>
      <c r="C41" s="219" t="s">
        <v>79</v>
      </c>
      <c r="D41" s="95">
        <f>TRUNC(B41*D38,2)</f>
        <v>0</v>
      </c>
      <c r="E41" s="96" t="s">
        <v>1</v>
      </c>
    </row>
    <row r="42" spans="1:5" ht="30.75" customHeight="1" x14ac:dyDescent="0.25">
      <c r="A42" s="16" t="s">
        <v>104</v>
      </c>
      <c r="B42" s="119">
        <f>'PLANILHA - RN'!B83</f>
        <v>0</v>
      </c>
      <c r="C42" s="220"/>
      <c r="D42" s="95">
        <f>TRUNC(B42*D38,2)</f>
        <v>0</v>
      </c>
      <c r="E42" s="175" t="s">
        <v>1</v>
      </c>
    </row>
    <row r="43" spans="1:5" ht="16.5" customHeight="1" thickBot="1" x14ac:dyDescent="0.3">
      <c r="A43" s="24" t="s">
        <v>80</v>
      </c>
      <c r="B43" s="37">
        <f>SUM(B41:B42)</f>
        <v>0</v>
      </c>
      <c r="C43" s="25" t="s">
        <v>7</v>
      </c>
      <c r="D43" s="27">
        <f>SUM(D41:D42)</f>
        <v>0</v>
      </c>
      <c r="E43" s="28" t="s">
        <v>1</v>
      </c>
    </row>
    <row r="44" spans="1:5" ht="24" customHeight="1" thickBot="1" x14ac:dyDescent="0.35">
      <c r="A44" s="223"/>
      <c r="B44" s="224"/>
      <c r="C44" s="224"/>
      <c r="D44" s="224"/>
      <c r="E44" s="224"/>
    </row>
    <row r="45" spans="1:5" ht="16.5" customHeight="1" x14ac:dyDescent="0.25">
      <c r="A45" s="98" t="s">
        <v>81</v>
      </c>
      <c r="B45" s="7" t="s">
        <v>10</v>
      </c>
      <c r="C45" s="7" t="s">
        <v>4</v>
      </c>
      <c r="D45" s="14" t="s">
        <v>0</v>
      </c>
      <c r="E45" s="15" t="s">
        <v>5</v>
      </c>
    </row>
    <row r="46" spans="1:5" ht="16.5" customHeight="1" x14ac:dyDescent="0.25">
      <c r="A46" s="16" t="s">
        <v>82</v>
      </c>
      <c r="B46" s="119">
        <f>'PLANILHA - RN'!B87</f>
        <v>0</v>
      </c>
      <c r="C46" s="221" t="s">
        <v>83</v>
      </c>
      <c r="D46" s="33">
        <f>TRUNC(((($D$38+$D$43)/(1-(($B$46+$B$47+$B$48)))))*B46,2)</f>
        <v>0</v>
      </c>
      <c r="E46" s="52" t="s">
        <v>84</v>
      </c>
    </row>
    <row r="47" spans="1:5" ht="16.5" customHeight="1" x14ac:dyDescent="0.25">
      <c r="A47" s="16" t="s">
        <v>85</v>
      </c>
      <c r="B47" s="119">
        <f>'PLANILHA - RN'!B88</f>
        <v>0</v>
      </c>
      <c r="C47" s="222"/>
      <c r="D47" s="33">
        <f>TRUNC(((($D$38+$D$43)/(1-(($B$46+$B$47+$B$48)))))*B47,2)</f>
        <v>0</v>
      </c>
      <c r="E47" s="97" t="s">
        <v>86</v>
      </c>
    </row>
    <row r="48" spans="1:5" ht="16.5" customHeight="1" x14ac:dyDescent="0.25">
      <c r="A48" s="16" t="s">
        <v>87</v>
      </c>
      <c r="B48" s="119">
        <f>'PLANILHA - RN'!B89</f>
        <v>0</v>
      </c>
      <c r="C48" s="222"/>
      <c r="D48" s="33">
        <f>TRUNC(((($D$38+$D$43)/(1-(($B$46+$B$47+$B$48)))))*B48,2)</f>
        <v>0</v>
      </c>
      <c r="E48" s="52" t="s">
        <v>88</v>
      </c>
    </row>
    <row r="49" spans="1:5" ht="16.5" customHeight="1" thickBot="1" x14ac:dyDescent="0.3">
      <c r="A49" s="24" t="s">
        <v>89</v>
      </c>
      <c r="B49" s="37">
        <f>SUM(B46:B48)</f>
        <v>0</v>
      </c>
      <c r="C49" s="25" t="s">
        <v>7</v>
      </c>
      <c r="D49" s="38">
        <f>SUM(D46:D48)</f>
        <v>0</v>
      </c>
      <c r="E49" s="28" t="s">
        <v>1</v>
      </c>
    </row>
    <row r="50" spans="1:5" ht="13.8" thickBot="1" x14ac:dyDescent="0.3">
      <c r="A50" s="10"/>
      <c r="B50" s="11"/>
      <c r="C50" s="11"/>
      <c r="D50" s="12"/>
      <c r="E50" s="11"/>
    </row>
    <row r="51" spans="1:5" ht="16.5" customHeight="1" thickBot="1" x14ac:dyDescent="0.3">
      <c r="A51" s="99" t="s">
        <v>125</v>
      </c>
      <c r="B51" s="100" t="s">
        <v>1</v>
      </c>
      <c r="C51" s="7" t="s">
        <v>4</v>
      </c>
      <c r="D51" s="101" t="s">
        <v>90</v>
      </c>
      <c r="E51" s="15" t="s">
        <v>91</v>
      </c>
    </row>
    <row r="52" spans="1:5" ht="16.5" customHeight="1" thickBot="1" x14ac:dyDescent="0.3">
      <c r="A52" s="135" t="s">
        <v>211</v>
      </c>
      <c r="B52" s="103" t="s">
        <v>1</v>
      </c>
      <c r="C52" s="103" t="s">
        <v>92</v>
      </c>
      <c r="D52" s="104">
        <f>SUM(D38,D43,D49)</f>
        <v>0</v>
      </c>
      <c r="E52" s="105">
        <f>D52*12</f>
        <v>0</v>
      </c>
    </row>
    <row r="53" spans="1:5" ht="13.8" thickBot="1" x14ac:dyDescent="0.3"/>
    <row r="54" spans="1:5" ht="16.5" customHeight="1" thickBot="1" x14ac:dyDescent="0.3">
      <c r="A54" s="99" t="s">
        <v>107</v>
      </c>
      <c r="B54" s="100" t="s">
        <v>1</v>
      </c>
      <c r="C54" s="7" t="s">
        <v>4</v>
      </c>
      <c r="D54" s="101" t="s">
        <v>90</v>
      </c>
      <c r="E54" s="15" t="s">
        <v>91</v>
      </c>
    </row>
    <row r="55" spans="1:5" ht="16.5" customHeight="1" thickBot="1" x14ac:dyDescent="0.3">
      <c r="A55" s="102" t="s">
        <v>212</v>
      </c>
      <c r="B55" s="103" t="s">
        <v>1</v>
      </c>
      <c r="C55" s="134" t="s">
        <v>124</v>
      </c>
      <c r="D55" s="104">
        <f>TRUNC(D52*10,2)</f>
        <v>0</v>
      </c>
      <c r="E55" s="105">
        <f>D55*12</f>
        <v>0</v>
      </c>
    </row>
    <row r="56" spans="1:5" ht="36" customHeight="1" x14ac:dyDescent="0.25">
      <c r="A56" s="133" t="s">
        <v>121</v>
      </c>
    </row>
  </sheetData>
  <sheetProtection algorithmName="SHA-512" hashValue="6JA3WgyjHTgjMFrKWzYjqqw51eVM2i1KhlAd5kHZRd2o8lENoecKjqJJNeWL5Z4Vy8+y3iFHdgK2OR9/+LCLpA==" saltValue="gvRT/rAuqtDRlrKHkLJ4og==" spinCount="100000" sheet="1" objects="1" scenarios="1"/>
  <mergeCells count="6">
    <mergeCell ref="A1:E1"/>
    <mergeCell ref="C41:C42"/>
    <mergeCell ref="A44:E44"/>
    <mergeCell ref="C46:C48"/>
    <mergeCell ref="A12:E12"/>
    <mergeCell ref="A33:E33"/>
  </mergeCells>
  <conditionalFormatting sqref="B42">
    <cfRule type="expression" dxfId="7" priority="7">
      <formula>ISBLANK($B42)=TRUE</formula>
    </cfRule>
  </conditionalFormatting>
  <conditionalFormatting sqref="B46">
    <cfRule type="expression" dxfId="6" priority="6">
      <formula>ISBLANK($B46)=TRUE</formula>
    </cfRule>
  </conditionalFormatting>
  <conditionalFormatting sqref="B47">
    <cfRule type="expression" dxfId="5" priority="5">
      <formula>ISBLANK($B47)=TRUE</formula>
    </cfRule>
  </conditionalFormatting>
  <conditionalFormatting sqref="B48">
    <cfRule type="expression" dxfId="4" priority="4">
      <formula>ISBLANK($B48)=TRUE</formula>
    </cfRule>
  </conditionalFormatting>
  <conditionalFormatting sqref="B21:B23">
    <cfRule type="expression" dxfId="3" priority="2">
      <formula>ISBLANK($B21)=TRUE</formula>
    </cfRule>
  </conditionalFormatting>
  <conditionalFormatting sqref="B41">
    <cfRule type="expression" dxfId="2" priority="8">
      <formula>ISBLANK($B41)=TRUE</formula>
    </cfRule>
  </conditionalFormatting>
  <conditionalFormatting sqref="D4">
    <cfRule type="expression" dxfId="1" priority="3">
      <formula>ISBLANK($D4)=TRUE</formula>
    </cfRule>
  </conditionalFormatting>
  <conditionalFormatting sqref="B34">
    <cfRule type="expression" dxfId="0" priority="1">
      <formula>ISBLANK($B34)</formula>
    </cfRule>
  </conditionalFormatting>
  <pageMargins left="0.511811024" right="0.511811024" top="0.78740157499999996" bottom="0.78740157499999996" header="0.31496062000000002" footer="0.31496062000000002"/>
  <pageSetup paperSize="9" scale="4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BASE</vt:lpstr>
      <vt:lpstr>PLANILHA - RN</vt:lpstr>
      <vt:lpstr>PLANILHA - RE - 55</vt:lpstr>
      <vt:lpstr>PLANILHA - RE - 70</vt:lpstr>
      <vt:lpstr>PLANILHA - RE - 95</vt:lpstr>
    </vt:vector>
  </TitlesOfParts>
  <Company>BDMG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 Vieira de Souza Junior</dc:creator>
  <cp:lastModifiedBy>Sérgio Júnior</cp:lastModifiedBy>
  <cp:lastPrinted>2020-09-22T19:05:17Z</cp:lastPrinted>
  <dcterms:created xsi:type="dcterms:W3CDTF">2015-10-15T21:22:45Z</dcterms:created>
  <dcterms:modified xsi:type="dcterms:W3CDTF">2020-11-30T16:37:52Z</dcterms:modified>
</cp:coreProperties>
</file>