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J.AD - DIVISÃO ADMINISTRATIVA\AP.LC\Licitações\2019\Mantenção de rede - cessao de mao de obra\"/>
    </mc:Choice>
  </mc:AlternateContent>
  <bookViews>
    <workbookView xWindow="0" yWindow="0" windowWidth="21600" windowHeight="9735"/>
  </bookViews>
  <sheets>
    <sheet name="Quadro resumo" sheetId="1" r:id="rId1"/>
    <sheet name="Posto 1" sheetId="2" r:id="rId2"/>
    <sheet name="Posto 2" sheetId="3" r:id="rId3"/>
    <sheet name="Posto 3" sheetId="4" r:id="rId4"/>
    <sheet name="Detalhamentos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3" l="1"/>
  <c r="B64" i="3"/>
  <c r="B65" i="2"/>
  <c r="B64" i="2"/>
  <c r="B65" i="4"/>
  <c r="B64" i="4"/>
  <c r="B62" i="4" l="1"/>
  <c r="B62" i="3"/>
  <c r="B62" i="2"/>
  <c r="B31" i="5" l="1"/>
  <c r="B25" i="5"/>
  <c r="B16" i="5"/>
  <c r="C7" i="1" l="1"/>
  <c r="C8" i="1"/>
  <c r="C9" i="1"/>
  <c r="B63" i="4" l="1"/>
  <c r="D63" i="4" s="1"/>
  <c r="B63" i="3"/>
  <c r="D63" i="3" s="1"/>
  <c r="D62" i="3"/>
  <c r="B63" i="2"/>
  <c r="B81" i="4"/>
  <c r="B80" i="4"/>
  <c r="B79" i="4"/>
  <c r="B75" i="4"/>
  <c r="B74" i="4"/>
  <c r="B68" i="4"/>
  <c r="D68" i="4" s="1"/>
  <c r="B67" i="4"/>
  <c r="D67" i="4" s="1"/>
  <c r="C65" i="4"/>
  <c r="D65" i="4"/>
  <c r="C64" i="4"/>
  <c r="D64" i="4"/>
  <c r="D62" i="4"/>
  <c r="B42" i="4"/>
  <c r="B41" i="4"/>
  <c r="B40" i="4"/>
  <c r="B39" i="4"/>
  <c r="B51" i="4" s="1"/>
  <c r="B33" i="4"/>
  <c r="B32" i="4"/>
  <c r="B31" i="4"/>
  <c r="B30" i="4"/>
  <c r="B29" i="4"/>
  <c r="B28" i="4"/>
  <c r="B27" i="4"/>
  <c r="B26" i="4"/>
  <c r="B22" i="4"/>
  <c r="D9" i="4"/>
  <c r="D10" i="4" s="1"/>
  <c r="D11" i="4" s="1"/>
  <c r="D12" i="4" s="1"/>
  <c r="B81" i="3"/>
  <c r="B80" i="3"/>
  <c r="B79" i="3"/>
  <c r="B75" i="3"/>
  <c r="B74" i="3"/>
  <c r="B68" i="3"/>
  <c r="D68" i="3" s="1"/>
  <c r="B67" i="3"/>
  <c r="D67" i="3" s="1"/>
  <c r="C65" i="3"/>
  <c r="D65" i="3"/>
  <c r="C64" i="3"/>
  <c r="D64" i="3"/>
  <c r="B42" i="3"/>
  <c r="B41" i="3"/>
  <c r="B40" i="3"/>
  <c r="B39" i="3"/>
  <c r="B51" i="3" s="1"/>
  <c r="B33" i="3"/>
  <c r="B32" i="3"/>
  <c r="B31" i="3"/>
  <c r="B30" i="3"/>
  <c r="B52" i="3" s="1"/>
  <c r="B29" i="3"/>
  <c r="B28" i="3"/>
  <c r="B27" i="3"/>
  <c r="B26" i="3"/>
  <c r="B22" i="3"/>
  <c r="B23" i="3" s="1"/>
  <c r="D9" i="3"/>
  <c r="D10" i="3" s="1"/>
  <c r="C65" i="2"/>
  <c r="C64" i="2"/>
  <c r="B83" i="4" l="1"/>
  <c r="B83" i="3"/>
  <c r="D27" i="4"/>
  <c r="D31" i="4"/>
  <c r="D40" i="4"/>
  <c r="D26" i="4"/>
  <c r="D30" i="4"/>
  <c r="D39" i="4"/>
  <c r="D51" i="4"/>
  <c r="D22" i="4"/>
  <c r="D29" i="4"/>
  <c r="D19" i="4"/>
  <c r="D18" i="4"/>
  <c r="D21" i="4"/>
  <c r="D17" i="4"/>
  <c r="D20" i="4"/>
  <c r="D16" i="4"/>
  <c r="D28" i="4"/>
  <c r="D32" i="4"/>
  <c r="D41" i="4"/>
  <c r="D33" i="4"/>
  <c r="D42" i="4"/>
  <c r="B34" i="4"/>
  <c r="B53" i="4"/>
  <c r="B23" i="4"/>
  <c r="B43" i="4"/>
  <c r="B52" i="4"/>
  <c r="D52" i="4" s="1"/>
  <c r="B66" i="4"/>
  <c r="D66" i="4" s="1"/>
  <c r="D69" i="4" s="1"/>
  <c r="B76" i="4"/>
  <c r="D11" i="3"/>
  <c r="D12" i="3" s="1"/>
  <c r="B56" i="3"/>
  <c r="B53" i="3"/>
  <c r="B34" i="3"/>
  <c r="B43" i="3"/>
  <c r="B66" i="3"/>
  <c r="D66" i="3" s="1"/>
  <c r="D69" i="3" s="1"/>
  <c r="B76" i="3"/>
  <c r="D53" i="4" l="1"/>
  <c r="D43" i="4"/>
  <c r="D34" i="4"/>
  <c r="D31" i="3"/>
  <c r="D29" i="3"/>
  <c r="D22" i="3"/>
  <c r="D33" i="3"/>
  <c r="D28" i="3"/>
  <c r="D26" i="3"/>
  <c r="D23" i="4"/>
  <c r="B47" i="4"/>
  <c r="B56" i="4"/>
  <c r="D56" i="3"/>
  <c r="D57" i="3" s="1"/>
  <c r="B57" i="3"/>
  <c r="D21" i="3"/>
  <c r="D17" i="3"/>
  <c r="D20" i="3"/>
  <c r="D16" i="3"/>
  <c r="D18" i="3"/>
  <c r="D19" i="3"/>
  <c r="D27" i="3"/>
  <c r="D51" i="3"/>
  <c r="D39" i="3"/>
  <c r="B47" i="3"/>
  <c r="D41" i="3"/>
  <c r="D30" i="3"/>
  <c r="D52" i="3"/>
  <c r="D42" i="3"/>
  <c r="D32" i="3"/>
  <c r="D40" i="3"/>
  <c r="B67" i="2"/>
  <c r="D34" i="3" l="1"/>
  <c r="D53" i="3"/>
  <c r="D23" i="3"/>
  <c r="D56" i="4"/>
  <c r="D57" i="4" s="1"/>
  <c r="B57" i="4"/>
  <c r="D47" i="4"/>
  <c r="D48" i="4" s="1"/>
  <c r="B48" i="4"/>
  <c r="B48" i="3"/>
  <c r="B59" i="3" s="1"/>
  <c r="D47" i="3"/>
  <c r="D48" i="3" s="1"/>
  <c r="D43" i="3"/>
  <c r="B32" i="2"/>
  <c r="D59" i="3" l="1"/>
  <c r="D71" i="3" s="1"/>
  <c r="B59" i="4"/>
  <c r="D59" i="4"/>
  <c r="D71" i="4" s="1"/>
  <c r="D75" i="4" l="1"/>
  <c r="D74" i="3"/>
  <c r="D74" i="4"/>
  <c r="D75" i="3"/>
  <c r="D76" i="4" l="1"/>
  <c r="D80" i="4" s="1"/>
  <c r="D76" i="3"/>
  <c r="D63" i="2"/>
  <c r="D62" i="2"/>
  <c r="D81" i="4" l="1"/>
  <c r="D79" i="4"/>
  <c r="D82" i="4"/>
  <c r="D79" i="3"/>
  <c r="D81" i="3"/>
  <c r="D80" i="3"/>
  <c r="D82" i="3"/>
  <c r="D9" i="2"/>
  <c r="D10" i="2" s="1"/>
  <c r="D83" i="4" l="1"/>
  <c r="D86" i="4" s="1"/>
  <c r="E86" i="4" s="1"/>
  <c r="D83" i="3"/>
  <c r="D86" i="3" s="1"/>
  <c r="E86" i="3" s="1"/>
  <c r="D11" i="2"/>
  <c r="B42" i="2"/>
  <c r="B41" i="2"/>
  <c r="B40" i="2"/>
  <c r="B39" i="2"/>
  <c r="B51" i="2" s="1"/>
  <c r="B30" i="2"/>
  <c r="B52" i="2" s="1"/>
  <c r="B33" i="2"/>
  <c r="B31" i="2"/>
  <c r="B29" i="2"/>
  <c r="B28" i="2"/>
  <c r="B27" i="2"/>
  <c r="B26" i="2"/>
  <c r="B22" i="2"/>
  <c r="D9" i="1" l="1"/>
  <c r="D8" i="1"/>
  <c r="B9" i="1"/>
  <c r="B8" i="1"/>
  <c r="B7" i="1"/>
  <c r="B68" i="2" l="1"/>
  <c r="B81" i="2" l="1"/>
  <c r="B80" i="2"/>
  <c r="B79" i="2"/>
  <c r="B75" i="2"/>
  <c r="B74" i="2"/>
  <c r="B83" i="2" l="1"/>
  <c r="C33" i="1"/>
  <c r="D68" i="2"/>
  <c r="D67" i="2"/>
  <c r="D65" i="2"/>
  <c r="D64" i="2"/>
  <c r="B23" i="2"/>
  <c r="B56" i="2" s="1"/>
  <c r="B66" i="2"/>
  <c r="D66" i="2" s="1"/>
  <c r="D16" i="1"/>
  <c r="B34" i="2" l="1"/>
  <c r="B53" i="2"/>
  <c r="B43" i="2"/>
  <c r="B76" i="2"/>
  <c r="D69" i="2" l="1"/>
  <c r="B47" i="2"/>
  <c r="B57" i="2"/>
  <c r="B48" i="2" l="1"/>
  <c r="B59" i="2" s="1"/>
  <c r="D12" i="2" l="1"/>
  <c r="D41" i="2" l="1"/>
  <c r="D40" i="2"/>
  <c r="D39" i="2"/>
  <c r="D42" i="2"/>
  <c r="D31" i="2"/>
  <c r="D21" i="2"/>
  <c r="D33" i="2"/>
  <c r="D28" i="2"/>
  <c r="D20" i="2"/>
  <c r="D16" i="2"/>
  <c r="D32" i="2"/>
  <c r="D27" i="2"/>
  <c r="D19" i="2"/>
  <c r="D52" i="2"/>
  <c r="D26" i="2"/>
  <c r="D18" i="2"/>
  <c r="D51" i="2"/>
  <c r="D29" i="2"/>
  <c r="D17" i="2"/>
  <c r="D22" i="2"/>
  <c r="D30" i="2"/>
  <c r="D56" i="2"/>
  <c r="D57" i="2" s="1"/>
  <c r="D47" i="2"/>
  <c r="D48" i="2" s="1"/>
  <c r="D53" i="2" l="1"/>
  <c r="D23" i="2"/>
  <c r="D31" i="1" s="1"/>
  <c r="D43" i="2"/>
  <c r="D34" i="2"/>
  <c r="D59" i="2" l="1"/>
  <c r="D71" i="2" s="1"/>
  <c r="D74" i="2" l="1"/>
  <c r="D33" i="1" s="1"/>
  <c r="D75" i="2"/>
  <c r="D32" i="1" s="1"/>
  <c r="F9" i="1" l="1"/>
  <c r="G9" i="1" s="1"/>
  <c r="D76" i="2"/>
  <c r="D80" i="2" l="1"/>
  <c r="D81" i="2"/>
  <c r="D82" i="2"/>
  <c r="D79" i="2"/>
  <c r="F8" i="1"/>
  <c r="G8" i="1" s="1"/>
  <c r="D83" i="2" l="1"/>
  <c r="D86" i="2" s="1"/>
  <c r="D7" i="1" s="1"/>
  <c r="F7" i="1" s="1"/>
  <c r="G7" i="1" s="1"/>
  <c r="G10" i="1" s="1"/>
  <c r="F10" i="1" l="1"/>
  <c r="E86" i="2"/>
</calcChain>
</file>

<file path=xl/sharedStrings.xml><?xml version="1.0" encoding="utf-8"?>
<sst xmlns="http://schemas.openxmlformats.org/spreadsheetml/2006/main" count="738" uniqueCount="198">
  <si>
    <t>Obs.: Apenas os campos em amarelo devem ser preenchidos pelo licitante.</t>
  </si>
  <si>
    <t>Posto de trabalho</t>
  </si>
  <si>
    <t>Salário-base (R$)</t>
  </si>
  <si>
    <t>Custo total unitário (R$)</t>
  </si>
  <si>
    <t>Quantidade</t>
  </si>
  <si>
    <t>Valor mensal (R$)</t>
  </si>
  <si>
    <t>Valor anual (R$)</t>
  </si>
  <si>
    <t>PREÇO GLOBAL:</t>
  </si>
  <si>
    <t>Insumos de valor subjetivo</t>
  </si>
  <si>
    <t>Valor unitário anual (R$)</t>
  </si>
  <si>
    <r>
      <t>Outros insumos</t>
    </r>
    <r>
      <rPr>
        <vertAlign val="superscript"/>
        <sz val="10"/>
        <rFont val="Arial"/>
        <family val="2"/>
      </rPr>
      <t>²</t>
    </r>
  </si>
  <si>
    <t>Encargos sociais incidentes sobre a remuneração</t>
  </si>
  <si>
    <t>Percentual (%)</t>
  </si>
  <si>
    <t>Riscos ambientais do trabalho - RAT x FAP</t>
  </si>
  <si>
    <t>Bonificação e outras despesas</t>
  </si>
  <si>
    <t>Despesas administrativas/operacionais</t>
  </si>
  <si>
    <t>Tributação sobre o faturamento</t>
  </si>
  <si>
    <t>ISSQN ou ISS</t>
  </si>
  <si>
    <t>COFINS</t>
  </si>
  <si>
    <t>PIS/PASEP</t>
  </si>
  <si>
    <t>PLANILHA DE COMPOSIÇÃO DE CUSTOS E FORMAÇÃO DE PREÇOS - POSTO 1</t>
  </si>
  <si>
    <t>I - SALÁRIO ESTIMADO DO PROFISSIONAL</t>
  </si>
  <si>
    <t>-</t>
  </si>
  <si>
    <t>MEMÓRIA DE CÁLCULO</t>
  </si>
  <si>
    <t>VALOR (R$)</t>
  </si>
  <si>
    <t>FUNDAMENTO</t>
  </si>
  <si>
    <t>II - COMPOSIÇÃO DA REMUNERAÇÃO</t>
  </si>
  <si>
    <t>QUANTIDADE</t>
  </si>
  <si>
    <t>Salário-base</t>
  </si>
  <si>
    <t>DSR</t>
  </si>
  <si>
    <t>Súmula 172 do TST, considerando 25 dias úteis em um mês de 30 dias.</t>
  </si>
  <si>
    <t>TOTAL II</t>
  </si>
  <si>
    <t>(soma)</t>
  </si>
  <si>
    <t>III - ENCARGOS SOCIAIS INCIDENTES SOBRE A REMUNERAÇÃO</t>
  </si>
  <si>
    <t>GRUPO III - A</t>
  </si>
  <si>
    <t>8,000% * TOTAL II</t>
  </si>
  <si>
    <t>Art. 15, Lei 8.030/90, e  Art. 7º , III, CF.</t>
  </si>
  <si>
    <t>1,500% * TOTAL II</t>
  </si>
  <si>
    <t>Art. 30, Lei 8.036/90.</t>
  </si>
  <si>
    <t>1,000% * TOTAL II</t>
  </si>
  <si>
    <t>Decreto 2.318/86.</t>
  </si>
  <si>
    <t>0,200% * TOTAL II</t>
  </si>
  <si>
    <t>Lei 7.787/89 e DL 1.146/70.</t>
  </si>
  <si>
    <t>0,600% * TOTAL II</t>
  </si>
  <si>
    <t>Art. 8º, Lei 8.029/90, e Lei 8.154/90.</t>
  </si>
  <si>
    <t>2,500% * TOTAL II</t>
  </si>
  <si>
    <t>Art. 3º, I, Decreto 87.043/82.</t>
  </si>
  <si>
    <t>(RAT*FAP) * TOTAL II</t>
  </si>
  <si>
    <t>Decreto 6.957/2009.</t>
  </si>
  <si>
    <t>TOTAL III - A</t>
  </si>
  <si>
    <t>GRUPO III - B</t>
  </si>
  <si>
    <t>B.01 - 13º salário</t>
  </si>
  <si>
    <t>Art. 7º, VIII, CF/88.</t>
  </si>
  <si>
    <t>B.02 - Férias + 1/3</t>
  </si>
  <si>
    <t>Art. 7º, XVII, CF/88.</t>
  </si>
  <si>
    <t>B.03 - Aviso prévio trabalhado¹</t>
  </si>
  <si>
    <t>Art. 7º, XXI, CF/88, 477, 487 e 491 CLT.</t>
  </si>
  <si>
    <t>B.04 - Auxílio doença²</t>
  </si>
  <si>
    <t>Art. 59 a 64, Lei 8.213/91.</t>
  </si>
  <si>
    <t>B.05 - Acidente de trabalho³</t>
  </si>
  <si>
    <t>Art. 19 a 23 da Lei, 8.213/91.</t>
  </si>
  <si>
    <r>
      <t>B.06 - Faltas legais</t>
    </r>
    <r>
      <rPr>
        <vertAlign val="superscript"/>
        <sz val="8"/>
        <rFont val="Arial"/>
        <family val="2"/>
      </rPr>
      <t>4</t>
    </r>
  </si>
  <si>
    <t>Art. 473, CLT.</t>
  </si>
  <si>
    <r>
      <t>B.07 - Férias sobre licença maternidade</t>
    </r>
    <r>
      <rPr>
        <vertAlign val="superscript"/>
        <sz val="10"/>
        <rFont val="Arial"/>
        <family val="2"/>
      </rPr>
      <t>5</t>
    </r>
  </si>
  <si>
    <t>Impacto do item férias sobre a licença maternidade.</t>
  </si>
  <si>
    <r>
      <t>B.08 - Licença paternidade</t>
    </r>
    <r>
      <rPr>
        <vertAlign val="superscript"/>
        <sz val="10"/>
        <rFont val="Arial"/>
        <family val="2"/>
      </rPr>
      <t>6</t>
    </r>
  </si>
  <si>
    <r>
      <t xml:space="preserve">Art. 7º, XIX, CF/88, e 10, </t>
    </r>
    <r>
      <rPr>
        <sz val="10"/>
        <rFont val="Calibri"/>
        <family val="2"/>
      </rPr>
      <t>§</t>
    </r>
    <r>
      <rPr>
        <sz val="10"/>
        <rFont val="Arial"/>
        <family val="2"/>
      </rPr>
      <t>1º, CLT.</t>
    </r>
  </si>
  <si>
    <t>TOTAL III - B</t>
  </si>
  <si>
    <t>¹ Redução de 7 dias ou de 2h por dia. Percentual relativo a contrato de 12 meses.</t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</si>
  <si>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Estimativa de 1 ausência por ano.</t>
    </r>
  </si>
  <si>
    <t>² Estimativa de 5 dias de licença por ano.</t>
  </si>
  <si>
    <t>³ Estimativa de 1 licença de 15 dias por ano para 1% dos funcionários.</t>
  </si>
  <si>
    <t>GRUPO III - C</t>
  </si>
  <si>
    <t>C.01 - Aviso prévio indenizado¹</t>
  </si>
  <si>
    <t>Art. 7º, XXI, CF/88, 477,487 e 491 CLT.</t>
  </si>
  <si>
    <t>C.02 - Indenização adicional²</t>
  </si>
  <si>
    <t>Art. 9º, Lei 7.238/84.</t>
  </si>
  <si>
    <t>C.03 - Indenização (rescisão sem justa causa - multa de 40% do FGTS)³</t>
  </si>
  <si>
    <t>Leis 8.036/90 e 9.491/97.</t>
  </si>
  <si>
    <r>
      <t>C.04 - Indenização (rescisão sem justa causa - contribuição de 10% do FGTS)</t>
    </r>
    <r>
      <rPr>
        <vertAlign val="superscript"/>
        <sz val="10"/>
        <rFont val="Arial"/>
        <family val="2"/>
      </rPr>
      <t>4</t>
    </r>
  </si>
  <si>
    <t>Lei complementar 110/01.</t>
  </si>
  <si>
    <t>TOTAL III - C</t>
  </si>
  <si>
    <t>¹ Considerando que 25% dos funcionários serão substituídos durante 1 ano.</t>
  </si>
  <si>
    <t>³ Multa de 40% do FGTS em relação aos trabalhadores contratados.</t>
  </si>
  <si>
    <t>² Considerando que 25% dos funcionários serão demitidos em situação de recebimento de indenização adicional.</t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</si>
  <si>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Contribuição de 10% do FGTS em relação aos trabalhadores contratados.</t>
    </r>
  </si>
  <si>
    <t>GRUPO III - D</t>
  </si>
  <si>
    <t>D.01 - Incidência dos encargos do grupo A sobre o grupo B</t>
  </si>
  <si>
    <t>TOTAL III - D</t>
  </si>
  <si>
    <t>GRUPO III - E</t>
  </si>
  <si>
    <t>E.01 - Incidência do FGTS exclusivamente sobre o aviso prévio indenizado</t>
  </si>
  <si>
    <t>A.02 * C.01 * TOTAL II</t>
  </si>
  <si>
    <t>Súmula 305 do TST.</t>
  </si>
  <si>
    <t>E.02 - Incidência do FGTS exclusivamente sobre o período médio de afastamento superior a 15 dias motivado por acidente de trabalho¹</t>
  </si>
  <si>
    <t>A.02 * B.05 * TOTAL II</t>
  </si>
  <si>
    <t>TOTAL III - E</t>
  </si>
  <si>
    <t>¹ Estimativa de que 1% dos funcionários sofrem acidentes por ano, com ausência média de 30 dias. O percentual do FGTS (8%) será aplicado somente sobre os 15 dias restantes do afastamento, porque os 15 primeiros dias já foram calculados no item B.05.</t>
  </si>
  <si>
    <t>GRUPO III - F</t>
  </si>
  <si>
    <t>F.01 - Incidência dos encargos do grupo A sobre o salário maternidade</t>
  </si>
  <si>
    <t>TOTAL III - F</t>
  </si>
  <si>
    <t>TOTAL III</t>
  </si>
  <si>
    <t>IV - INSUMOS</t>
  </si>
  <si>
    <t>Auxílio-alimentação</t>
  </si>
  <si>
    <t>Vale-transporte</t>
  </si>
  <si>
    <t>Plano de saúde</t>
  </si>
  <si>
    <t>Desconto legal sobre transporte (máximo de 6% do salário-base)</t>
  </si>
  <si>
    <t>(-0,06*Salário)</t>
  </si>
  <si>
    <t>Lei 7.418/85.</t>
  </si>
  <si>
    <t>Insumos eventualmente não previstos na planilha necessários ao cumprimento do objeto.</t>
  </si>
  <si>
    <t xml:space="preserve">TOTAL IV </t>
  </si>
  <si>
    <t>TOTAL 1: TOTAL DA REMUNERAÇÃO + ENCARGOS SOCIAIS + INSUMOS</t>
  </si>
  <si>
    <t>TOTAL II  + TOTAL III + TOTAL IV</t>
  </si>
  <si>
    <t>V - BONIFICAÇÃO E OUTRAS DESPESAS</t>
  </si>
  <si>
    <t>Incide sobre o TOTAL 1</t>
  </si>
  <si>
    <t>TOTAL V</t>
  </si>
  <si>
    <t>VI - TRIBUTAÇÃO SOBRE O FATURAMENTO</t>
  </si>
  <si>
    <t>((TOTAL 1 + TOTAL V)/(1-(ISS + COFINS + PIS/PASEP)))*alíquota</t>
  </si>
  <si>
    <t>TOTAL VI</t>
  </si>
  <si>
    <t>CUSTO POR FUNCIONÁRIO</t>
  </si>
  <si>
    <t>MENSAL (R$)</t>
  </si>
  <si>
    <t>ANUAL (R$)</t>
  </si>
  <si>
    <t>(TOTAL 1 + TOTAL V + TOTAL VI)</t>
  </si>
  <si>
    <t>Valor</t>
  </si>
  <si>
    <t>Outros benefícios obrigatórios</t>
  </si>
  <si>
    <t>Valor mensal referente a benefícios impostos pela legislação vigente, ACT ou CCT, não previstos na planilha.</t>
  </si>
  <si>
    <t>Percentual</t>
  </si>
  <si>
    <t>Obs.: Os valores obtidos como quocientes ou por meio de aplicação de taxas percentuais serão truncados na segunda casa decimal, nos termos da Lei Federal nº 9.069/1995, art. 1º, §5º.</t>
  </si>
  <si>
    <t>Taxa de adesão ao plano de saúde</t>
  </si>
  <si>
    <t>Obs.:  Não há campos para preenchimento nesta planilha.</t>
  </si>
  <si>
    <t>Valor mensal</t>
  </si>
  <si>
    <r>
      <t>Lucro</t>
    </r>
    <r>
      <rPr>
        <vertAlign val="superscript"/>
        <sz val="10"/>
        <rFont val="Arial"/>
        <family val="2"/>
      </rPr>
      <t>1</t>
    </r>
  </si>
  <si>
    <t>Outros insumos</t>
  </si>
  <si>
    <t>Inserir na tabela abaixo os valores propostos para os insumos de valor subjetivo, por posto</t>
  </si>
  <si>
    <t>Lucro máximo</t>
  </si>
  <si>
    <r>
      <rPr>
        <b/>
        <i/>
        <vertAlign val="superscript"/>
        <sz val="9"/>
        <color rgb="FFFF0000"/>
        <rFont val="Arial"/>
        <family val="2"/>
      </rPr>
      <t>1</t>
    </r>
    <r>
      <rPr>
        <b/>
        <i/>
        <sz val="9"/>
        <color rgb="FFFF0000"/>
        <rFont val="Arial"/>
        <family val="2"/>
      </rPr>
      <t>Valor mensal ser considerado PELO FORNECEDOR na elaboração da proposta comercial. Não expresso nas planilhas e de recebimento certo. Será utilizado como referencial na análise de exequibilidade da proposta ofertada. Memória de Cálculo: somatório dos campos em VERDE nas planilhas, não considerados valores referentes a dependentes em relação ao plano de saúde e respectiva taxa.</t>
    </r>
  </si>
  <si>
    <t>Valor (R$)</t>
  </si>
  <si>
    <t>PERCENTUAL</t>
  </si>
  <si>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Estimativa de 1,5% dos funcionários usufruindo 5 dias da licença por ano.</t>
    </r>
  </si>
  <si>
    <t>((TOTAL III - A * TOTAL III - B)) * TOTAL II</t>
  </si>
  <si>
    <t>(1/12) * TOTAL II</t>
  </si>
  <si>
    <t>((1+1/3)/12) * TOTAL II</t>
  </si>
  <si>
    <t>((7/30)/12) * TOTAL II</t>
  </si>
  <si>
    <t>((5/30)/12) * TOTAL II</t>
  </si>
  <si>
    <t>((1/30)/12) * TOTAL II</t>
  </si>
  <si>
    <t>((15/30)/12) * 1% * TOTAL II</t>
  </si>
  <si>
    <t>40% * 8% * TOTAL II</t>
  </si>
  <si>
    <t>10% * 8% * TOTAL II</t>
  </si>
  <si>
    <t>((5/30)/12)*1,5%) * TOTAL II</t>
  </si>
  <si>
    <t>25% * (1/12) * TOTAL II</t>
  </si>
  <si>
    <t>Valor mensal do plano de saúde por pessoa</t>
  </si>
  <si>
    <t>Valor da taxa de adesão ao plano de saúde por pessoa</t>
  </si>
  <si>
    <t>Baseado no preço médio praticado em BH/MG, 2 passagens de ida e 2 de volta, 15 dias.</t>
  </si>
  <si>
    <r>
      <t>Lucro máximo</t>
    </r>
    <r>
      <rPr>
        <vertAlign val="superscript"/>
        <sz val="10"/>
        <rFont val="Arial"/>
        <family val="2"/>
      </rPr>
      <t>3</t>
    </r>
  </si>
  <si>
    <r>
      <rPr>
        <b/>
        <i/>
        <vertAlign val="superscript"/>
        <sz val="9"/>
        <color rgb="FFFF0000"/>
        <rFont val="Arial"/>
        <family val="2"/>
      </rPr>
      <t>3</t>
    </r>
    <r>
      <rPr>
        <b/>
        <i/>
        <sz val="9"/>
        <color rgb="FFFF0000"/>
        <rFont val="Arial"/>
        <family val="2"/>
      </rPr>
      <t>Valor mensal a ser considerado PELO BDMG para privisionamento, portanto, expresso nas planilhas de composição de custos. Vinculado à ocorrência de NECESSARIAMENTE TODOS os eventos previstos na composição dos custos, inclusive os incertos. Memória de Cálculo: TOTAL 1</t>
    </r>
  </si>
  <si>
    <t>(((1+1/3)/12)*1,5%*(4/12)) * TOTAL II</t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</si>
  <si>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Estimativa de 1,5% dos funcionários usufruindo de 4 meses de licença por ano.</t>
    </r>
  </si>
  <si>
    <t>Estimativa de que 1,5% dos funcionários usufruirão da licença maternidade de 4 meses em 1 ano.</t>
  </si>
  <si>
    <t>TOTAL III - A * (13/12) * (4/12) * 1,5% * TOTAL II</t>
  </si>
  <si>
    <t>Supervisor de manutenção e suporte técnico</t>
  </si>
  <si>
    <t>Carga horária de 200h</t>
  </si>
  <si>
    <t>Horas-extras estimadas</t>
  </si>
  <si>
    <t>[(Salário * percentual da CCT)/200] * Quantidade</t>
  </si>
  <si>
    <t>(Horas-extras) * 5/25</t>
  </si>
  <si>
    <t>Quantitade estimada pelo BDMG e % previsto na CCT</t>
  </si>
  <si>
    <t>Estimativa de 3 dependentes + 1 titular.</t>
  </si>
  <si>
    <t>Técnico de manutenção em informática</t>
  </si>
  <si>
    <t>Técnico em suporte de informática</t>
  </si>
  <si>
    <t>4,50*4*22 dias</t>
  </si>
  <si>
    <t>Justificativa</t>
  </si>
  <si>
    <t>OUTROS BENEFÍCIOS OBRIGATÓRIOS</t>
  </si>
  <si>
    <t>TOTAL DE OUTROS BENEFÍCIOS OBRIGATÓRIOS</t>
  </si>
  <si>
    <t>VALOR MENSAL (R$)</t>
  </si>
  <si>
    <t>VALOR ANUAL (R$)</t>
  </si>
  <si>
    <t>OUTROS INSUMOS</t>
  </si>
  <si>
    <t>DETALHAMENTO COM A COMPOSIÇÃO DOS CAMPOS OUTROS BENEFÍCIOS OBRIGATÓRIOS, OUTROS INSUMOS E DESPESAS ADMINISTRATIVAS/OPERACIONAIS</t>
  </si>
  <si>
    <t>DETALHAMENTO DAS DESPESAS ADMINISTRATIVAS/OPERACIONAIS</t>
  </si>
  <si>
    <t>TOTAL DAS DESPESAS ADMINISTRATIVAS/OPERACIONAIS</t>
  </si>
  <si>
    <t>TOTAL DE OUTROS INSUMOS</t>
  </si>
  <si>
    <t>20,80*22 dias</t>
  </si>
  <si>
    <t xml:space="preserve">Valor integral conforme a CCT vigente, cláusula décima primeira. </t>
  </si>
  <si>
    <t>PLANILHA DE COMPOSIÇÃO DE CUSTOS E FORMAÇÃO DE PREÇOS - POSTO 3</t>
  </si>
  <si>
    <t>PLANILHA DE COMPOSIÇÃO DE CUSTOS E FORMAÇÃO DE PREÇOS - POSTO 2</t>
  </si>
  <si>
    <t>Detalhados na aba "Detalhamentos"</t>
  </si>
  <si>
    <r>
      <t>Despesas administrativas/operacionais</t>
    </r>
    <r>
      <rPr>
        <vertAlign val="superscript"/>
        <sz val="10"/>
        <rFont val="Arial"/>
        <family val="2"/>
      </rPr>
      <t>2</t>
    </r>
  </si>
  <si>
    <r>
      <rPr>
        <b/>
        <i/>
        <vertAlign val="superscript"/>
        <sz val="10"/>
        <color rgb="FFFF0000"/>
        <rFont val="Arial"/>
        <family val="2"/>
      </rPr>
      <t xml:space="preserve">² </t>
    </r>
    <r>
      <rPr>
        <b/>
        <i/>
        <sz val="10"/>
        <color rgb="FFFF0000"/>
        <rFont val="Arial"/>
        <family val="2"/>
      </rPr>
      <t>Este item abrange insumos eventualmente não discriminados nas planilhas e necessários à execução do objeto, a critério do licitante. Caso sejam indicados, tais insumos deverão ser discriminados detalhadamente na planilha Detalhamentos deste arquivo XLSX.</t>
    </r>
  </si>
  <si>
    <r>
      <rPr>
        <b/>
        <i/>
        <vertAlign val="superscript"/>
        <sz val="9"/>
        <color rgb="FFFF0000"/>
        <rFont val="Arial"/>
        <family val="2"/>
      </rPr>
      <t>2</t>
    </r>
    <r>
      <rPr>
        <b/>
        <i/>
        <sz val="9"/>
        <color rgb="FFFF0000"/>
        <rFont val="Arial"/>
        <family val="2"/>
      </rPr>
      <t>A memória de cálculo da composição do percentual apresentado para o campo será detalhada na planilha Detalhamentos deste arquivo XLSX.</t>
    </r>
  </si>
  <si>
    <r>
      <t xml:space="preserve">Valor mensal referente a benefícios impostos pela legislação vigente, ACT ou CCT, não previstos na planilha, por profissional. Deverão ser discriminados detalhamente na planilha  </t>
    </r>
    <r>
      <rPr>
        <i/>
        <sz val="10"/>
        <rFont val="Arial"/>
        <family val="2"/>
      </rPr>
      <t>Detalhamentos</t>
    </r>
    <r>
      <rPr>
        <sz val="10"/>
        <rFont val="Arial"/>
        <family val="2"/>
      </rPr>
      <t xml:space="preserve"> deste arquivo XLSX</t>
    </r>
  </si>
  <si>
    <t xml:space="preserve">CPRB </t>
  </si>
  <si>
    <t>A.01 FGTS</t>
  </si>
  <si>
    <t>A.02 SESI/SESC</t>
  </si>
  <si>
    <t>A.03 SENAI/SENAC</t>
  </si>
  <si>
    <t>A.04 INCRA</t>
  </si>
  <si>
    <t>A.05 SEBRAE</t>
  </si>
  <si>
    <t>A.06 Salário educação</t>
  </si>
  <si>
    <t>A.07 Riscos ambientais do trabalho - RAT x FAP</t>
  </si>
  <si>
    <t>((TOTAL 1 + TOTAL V)/(1-(ISS + COFINS + PIS/PASEP+CPRB)))*alíquota</t>
  </si>
  <si>
    <t>((TOTAL 1 + TOTAL V)/(1-(ISS + COFINS + PIS/PASEP+ CPRB)))*alíquota</t>
  </si>
  <si>
    <t>QUADRO RESUMO
(PARA UTILIZAÇÃO PELOS QUE SE ENQUADREM NA HIPÓTESE DA LEI FEDERAL 12.546/2011, ART. 7º, INCISO I, E ART. 7º-A, CAPUT)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</si>
</sst>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#,##0.000_);[Red]\(#,##0.000\)"/>
    <numFmt numFmtId="165" formatCode="_(* #,##0.000_);_(* \(#,##0.000\);_(* &quot;-&quot;???_);_(@_)"/>
    <numFmt numFmtId="166" formatCode="0.0%"/>
    <numFmt numFmtId="167" formatCode="0.0000%"/>
    <numFmt numFmtId="168" formatCode="_(* #,##0.00_);_(* \(#,##0.00\);_(* &quot;-&quot;???_);_(@_)"/>
    <numFmt numFmtId="169" formatCode="&quot;R$&quot;\ #,##0.00"/>
    <numFmt numFmtId="170" formatCode="0.00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rgb="FFFF0000"/>
      <name val="Arial"/>
      <family val="2"/>
    </font>
    <font>
      <i/>
      <sz val="12"/>
      <color rgb="FFFF000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color rgb="FFFF0000"/>
      <name val="Arial"/>
      <family val="2"/>
    </font>
    <font>
      <b/>
      <u/>
      <sz val="12"/>
      <name val="Arial Black"/>
      <family val="2"/>
    </font>
    <font>
      <b/>
      <i/>
      <sz val="12"/>
      <name val="Arial Black"/>
      <family val="2"/>
    </font>
    <font>
      <vertAlign val="superscript"/>
      <sz val="8"/>
      <name val="Arial"/>
      <family val="2"/>
    </font>
    <font>
      <sz val="10"/>
      <name val="Calibri"/>
      <family val="2"/>
    </font>
    <font>
      <b/>
      <i/>
      <sz val="9"/>
      <color rgb="FFFF0000"/>
      <name val="Arial"/>
      <family val="2"/>
    </font>
    <font>
      <sz val="11"/>
      <name val="Calibri"/>
      <family val="2"/>
    </font>
    <font>
      <b/>
      <i/>
      <vertAlign val="superscript"/>
      <sz val="10"/>
      <color rgb="FFFF0000"/>
      <name val="Arial"/>
      <family val="2"/>
    </font>
    <font>
      <b/>
      <i/>
      <vertAlign val="superscript"/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D9F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rgb="FFC0C0C0"/>
      </left>
      <right/>
      <top/>
      <bottom/>
      <diagonal/>
    </border>
    <border>
      <left style="double">
        <color rgb="FFC0C0C0"/>
      </left>
      <right style="double">
        <color rgb="FFC0C0C0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rgb="FFC0C0C0"/>
      </bottom>
      <diagonal/>
    </border>
    <border>
      <left style="double">
        <color rgb="FFC0C0C0"/>
      </left>
      <right style="double">
        <color rgb="FFC0C0C0"/>
      </right>
      <top/>
      <bottom/>
      <diagonal/>
    </border>
    <border>
      <left style="double">
        <color rgb="FFC0C0C0"/>
      </left>
      <right style="double">
        <color rgb="FFC0C0C0"/>
      </right>
      <top style="double">
        <color indexed="64"/>
      </top>
      <bottom style="double">
        <color rgb="FFC0C0C0"/>
      </bottom>
      <diagonal/>
    </border>
    <border>
      <left/>
      <right style="double">
        <color rgb="FFC0C0C0"/>
      </right>
      <top/>
      <bottom style="double">
        <color rgb="FFC0C0C0"/>
      </bottom>
      <diagonal/>
    </border>
    <border>
      <left style="double">
        <color rgb="FFC0C0C0"/>
      </left>
      <right/>
      <top style="double">
        <color indexed="64"/>
      </top>
      <bottom style="double">
        <color rgb="FFC0C0C0"/>
      </bottom>
      <diagonal/>
    </border>
    <border>
      <left style="double">
        <color rgb="FFC0C0C0"/>
      </left>
      <right style="double">
        <color rgb="FFC0C0C0"/>
      </right>
      <top/>
      <bottom style="double">
        <color rgb="FFC0C0C0"/>
      </bottom>
      <diagonal/>
    </border>
    <border>
      <left style="double">
        <color rgb="FFC0C0C0"/>
      </left>
      <right/>
      <top/>
      <bottom style="double">
        <color rgb="FFC0C0C0"/>
      </bottom>
      <diagonal/>
    </border>
    <border>
      <left style="double">
        <color rgb="FFC0C0C0"/>
      </left>
      <right style="double">
        <color rgb="FFC0C0C0"/>
      </right>
      <top style="double">
        <color rgb="FFC0C0C0"/>
      </top>
      <bottom style="double">
        <color indexed="64"/>
      </bottom>
      <diagonal/>
    </border>
    <border>
      <left style="double">
        <color rgb="FFC0C0C0"/>
      </left>
      <right/>
      <top style="double">
        <color rgb="FFC0C0C0"/>
      </top>
      <bottom style="double">
        <color indexed="64"/>
      </bottom>
      <diagonal/>
    </border>
    <border>
      <left style="double">
        <color rgb="FFC0C0C0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C0C0C0"/>
      </left>
      <right style="double">
        <color rgb="FFC0C0C0"/>
      </right>
      <top style="double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0">
    <xf numFmtId="0" fontId="0" fillId="0" borderId="0" xfId="0"/>
    <xf numFmtId="0" fontId="0" fillId="0" borderId="0" xfId="0" applyProtection="1"/>
    <xf numFmtId="0" fontId="3" fillId="0" borderId="2" xfId="0" applyFont="1" applyFill="1" applyBorder="1" applyAlignment="1" applyProtection="1">
      <alignment horizontal="center"/>
    </xf>
    <xf numFmtId="0" fontId="0" fillId="0" borderId="0" xfId="0" applyFill="1" applyProtection="1"/>
    <xf numFmtId="0" fontId="3" fillId="0" borderId="5" xfId="0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6" fillId="0" borderId="4" xfId="0" applyFont="1" applyBorder="1" applyAlignment="1" applyProtection="1">
      <alignment horizontal="left" wrapText="1"/>
    </xf>
    <xf numFmtId="0" fontId="0" fillId="0" borderId="4" xfId="0" applyBorder="1" applyAlignment="1" applyProtection="1">
      <alignment horizontal="center" vertical="center"/>
    </xf>
    <xf numFmtId="0" fontId="6" fillId="0" borderId="4" xfId="0" applyFont="1" applyBorder="1" applyAlignment="1" applyProtection="1">
      <alignment wrapText="1"/>
    </xf>
    <xf numFmtId="43" fontId="2" fillId="0" borderId="4" xfId="0" applyNumberFormat="1" applyFont="1" applyBorder="1" applyAlignment="1" applyProtection="1">
      <alignment vertical="center"/>
    </xf>
    <xf numFmtId="43" fontId="7" fillId="0" borderId="4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43" fontId="2" fillId="0" borderId="0" xfId="0" applyNumberFormat="1" applyFont="1" applyBorder="1" applyAlignment="1" applyProtection="1">
      <alignment vertical="center"/>
    </xf>
    <xf numFmtId="43" fontId="7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3" fillId="4" borderId="4" xfId="0" applyFont="1" applyFill="1" applyBorder="1" applyAlignment="1" applyProtection="1">
      <alignment horizontal="center" vertical="center"/>
    </xf>
    <xf numFmtId="43" fontId="10" fillId="0" borderId="0" xfId="0" applyNumberFormat="1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horizontal="center" vertical="center"/>
    </xf>
    <xf numFmtId="43" fontId="6" fillId="3" borderId="4" xfId="2" applyNumberFormat="1" applyFont="1" applyFill="1" applyBorder="1" applyAlignment="1" applyProtection="1">
      <alignment vertical="center"/>
      <protection locked="0"/>
    </xf>
    <xf numFmtId="43" fontId="6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43" fontId="3" fillId="0" borderId="0" xfId="0" applyNumberFormat="1" applyFont="1" applyBorder="1" applyAlignment="1" applyProtection="1">
      <alignment vertical="center"/>
    </xf>
    <xf numFmtId="0" fontId="9" fillId="0" borderId="0" xfId="0" applyFont="1" applyProtection="1"/>
    <xf numFmtId="0" fontId="3" fillId="4" borderId="4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wrapText="1"/>
    </xf>
    <xf numFmtId="0" fontId="13" fillId="0" borderId="0" xfId="0" applyFont="1" applyAlignment="1" applyProtection="1">
      <alignment wrapText="1"/>
    </xf>
    <xf numFmtId="0" fontId="3" fillId="0" borderId="0" xfId="0" applyFont="1" applyProtection="1"/>
    <xf numFmtId="0" fontId="6" fillId="0" borderId="0" xfId="0" applyFont="1" applyProtection="1"/>
    <xf numFmtId="0" fontId="6" fillId="0" borderId="4" xfId="0" applyFont="1" applyBorder="1" applyProtection="1"/>
    <xf numFmtId="0" fontId="6" fillId="0" borderId="4" xfId="0" applyFont="1" applyFill="1" applyBorder="1" applyProtection="1"/>
    <xf numFmtId="0" fontId="16" fillId="0" borderId="6" xfId="0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/>
    </xf>
    <xf numFmtId="0" fontId="17" fillId="0" borderId="11" xfId="0" applyFont="1" applyFill="1" applyBorder="1" applyAlignment="1" applyProtection="1">
      <alignment horizontal="left" vertical="center"/>
    </xf>
    <xf numFmtId="0" fontId="3" fillId="5" borderId="12" xfId="0" applyFont="1" applyFill="1" applyBorder="1" applyAlignment="1" applyProtection="1">
      <alignment horizontal="left" vertical="center"/>
    </xf>
    <xf numFmtId="0" fontId="3" fillId="5" borderId="13" xfId="0" applyFont="1" applyFill="1" applyBorder="1" applyAlignment="1" applyProtection="1">
      <alignment horizontal="center" vertical="center"/>
    </xf>
    <xf numFmtId="0" fontId="3" fillId="5" borderId="14" xfId="0" applyFont="1" applyFill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vertical="center"/>
    </xf>
    <xf numFmtId="0" fontId="6" fillId="0" borderId="19" xfId="0" applyFont="1" applyBorder="1" applyAlignment="1" applyProtection="1">
      <alignment vertical="center"/>
    </xf>
    <xf numFmtId="0" fontId="3" fillId="5" borderId="12" xfId="0" applyFont="1" applyFill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horizontal="center" vertical="center"/>
    </xf>
    <xf numFmtId="43" fontId="6" fillId="0" borderId="4" xfId="1" applyNumberFormat="1" applyFont="1" applyFill="1" applyBorder="1" applyAlignment="1" applyProtection="1">
      <alignment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horizontal="center" vertical="center" wrapText="1"/>
    </xf>
    <xf numFmtId="43" fontId="6" fillId="0" borderId="21" xfId="1" applyNumberFormat="1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3" fillId="5" borderId="15" xfId="0" applyFont="1" applyFill="1" applyBorder="1" applyAlignment="1" applyProtection="1">
      <alignment vertical="center"/>
    </xf>
    <xf numFmtId="0" fontId="3" fillId="5" borderId="16" xfId="0" applyFont="1" applyFill="1" applyBorder="1" applyAlignment="1" applyProtection="1">
      <alignment horizontal="center" vertical="center"/>
    </xf>
    <xf numFmtId="43" fontId="3" fillId="5" borderId="16" xfId="1" applyFont="1" applyFill="1" applyBorder="1" applyAlignment="1" applyProtection="1">
      <alignment horizontal="center" vertical="center"/>
    </xf>
    <xf numFmtId="43" fontId="3" fillId="5" borderId="16" xfId="0" applyNumberFormat="1" applyFont="1" applyFill="1" applyBorder="1" applyAlignment="1" applyProtection="1">
      <alignment vertical="center"/>
    </xf>
    <xf numFmtId="0" fontId="3" fillId="5" borderId="17" xfId="0" applyFont="1" applyFill="1" applyBorder="1" applyAlignment="1" applyProtection="1">
      <alignment horizontal="center" vertical="center"/>
    </xf>
    <xf numFmtId="10" fontId="6" fillId="0" borderId="0" xfId="3" applyNumberFormat="1" applyFont="1" applyBorder="1" applyAlignment="1" applyProtection="1">
      <alignment vertical="center"/>
    </xf>
    <xf numFmtId="0" fontId="3" fillId="5" borderId="20" xfId="0" applyFont="1" applyFill="1" applyBorder="1" applyAlignment="1" applyProtection="1">
      <alignment vertical="center"/>
    </xf>
    <xf numFmtId="0" fontId="6" fillId="5" borderId="0" xfId="0" applyFont="1" applyFill="1" applyBorder="1" applyAlignment="1" applyProtection="1">
      <alignment vertical="center"/>
    </xf>
    <xf numFmtId="0" fontId="6" fillId="5" borderId="4" xfId="0" applyFont="1" applyFill="1" applyBorder="1" applyAlignment="1" applyProtection="1">
      <alignment horizontal="center" vertical="center"/>
    </xf>
    <xf numFmtId="43" fontId="6" fillId="5" borderId="4" xfId="1" applyFont="1" applyFill="1" applyBorder="1" applyAlignment="1" applyProtection="1">
      <alignment vertical="center"/>
    </xf>
    <xf numFmtId="0" fontId="6" fillId="5" borderId="22" xfId="0" applyFont="1" applyFill="1" applyBorder="1" applyAlignment="1" applyProtection="1">
      <alignment vertical="center"/>
    </xf>
    <xf numFmtId="43" fontId="6" fillId="0" borderId="4" xfId="1" applyNumberFormat="1" applyFont="1" applyBorder="1" applyAlignment="1" applyProtection="1">
      <alignment vertical="center"/>
    </xf>
    <xf numFmtId="0" fontId="6" fillId="0" borderId="22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 wrapText="1"/>
    </xf>
    <xf numFmtId="43" fontId="6" fillId="0" borderId="4" xfId="1" applyFont="1" applyBorder="1" applyAlignment="1" applyProtection="1">
      <alignment vertical="center"/>
    </xf>
    <xf numFmtId="164" fontId="3" fillId="5" borderId="16" xfId="3" applyNumberFormat="1" applyFont="1" applyFill="1" applyBorder="1" applyAlignment="1" applyProtection="1">
      <alignment horizontal="center" vertical="center"/>
    </xf>
    <xf numFmtId="43" fontId="3" fillId="5" borderId="16" xfId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vertical="center" wrapText="1"/>
    </xf>
    <xf numFmtId="165" fontId="6" fillId="0" borderId="0" xfId="0" applyNumberFormat="1" applyFont="1" applyBorder="1" applyAlignment="1" applyProtection="1">
      <alignment vertical="center"/>
    </xf>
    <xf numFmtId="2" fontId="6" fillId="0" borderId="0" xfId="0" applyNumberFormat="1" applyFont="1" applyBorder="1" applyAlignment="1" applyProtection="1">
      <alignment vertical="center"/>
    </xf>
    <xf numFmtId="166" fontId="6" fillId="0" borderId="19" xfId="3" applyNumberFormat="1" applyFont="1" applyBorder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 wrapText="1"/>
    </xf>
    <xf numFmtId="167" fontId="6" fillId="0" borderId="4" xfId="0" applyNumberFormat="1" applyFont="1" applyBorder="1" applyAlignment="1" applyProtection="1">
      <alignment horizontal="center" vertical="center" wrapText="1"/>
    </xf>
    <xf numFmtId="0" fontId="3" fillId="5" borderId="25" xfId="0" applyFont="1" applyFill="1" applyBorder="1" applyAlignment="1" applyProtection="1">
      <alignment vertical="center"/>
    </xf>
    <xf numFmtId="164" fontId="3" fillId="5" borderId="26" xfId="3" applyNumberFormat="1" applyFont="1" applyFill="1" applyBorder="1" applyAlignment="1" applyProtection="1">
      <alignment horizontal="center" vertical="center"/>
    </xf>
    <xf numFmtId="0" fontId="3" fillId="5" borderId="26" xfId="0" applyFont="1" applyFill="1" applyBorder="1" applyAlignment="1" applyProtection="1">
      <alignment horizontal="center" vertical="center"/>
    </xf>
    <xf numFmtId="43" fontId="3" fillId="5" borderId="26" xfId="1" applyNumberFormat="1" applyFont="1" applyFill="1" applyBorder="1" applyAlignment="1" applyProtection="1">
      <alignment horizontal="right" vertical="center"/>
    </xf>
    <xf numFmtId="0" fontId="3" fillId="5" borderId="27" xfId="0" applyFont="1" applyFill="1" applyBorder="1" applyAlignment="1" applyProtection="1">
      <alignment horizontal="center" vertical="center"/>
    </xf>
    <xf numFmtId="43" fontId="6" fillId="0" borderId="0" xfId="1" applyFont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horizontal="center" vertical="center"/>
    </xf>
    <xf numFmtId="168" fontId="6" fillId="0" borderId="4" xfId="0" applyNumberFormat="1" applyFont="1" applyFill="1" applyBorder="1" applyAlignment="1" applyProtection="1">
      <alignment vertical="center"/>
    </xf>
    <xf numFmtId="168" fontId="6" fillId="0" borderId="4" xfId="0" applyNumberFormat="1" applyFont="1" applyBorder="1" applyAlignment="1" applyProtection="1">
      <alignment vertical="center"/>
    </xf>
    <xf numFmtId="43" fontId="6" fillId="0" borderId="4" xfId="1" applyNumberFormat="1" applyFont="1" applyBorder="1" applyAlignment="1" applyProtection="1">
      <alignment horizontal="righ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vertical="center" wrapText="1"/>
    </xf>
    <xf numFmtId="0" fontId="6" fillId="0" borderId="29" xfId="0" applyFont="1" applyBorder="1" applyAlignment="1" applyProtection="1">
      <alignment vertical="center" wrapText="1"/>
    </xf>
    <xf numFmtId="0" fontId="6" fillId="0" borderId="30" xfId="0" applyFont="1" applyBorder="1" applyAlignment="1" applyProtection="1">
      <alignment vertical="center" wrapText="1"/>
    </xf>
    <xf numFmtId="0" fontId="3" fillId="5" borderId="25" xfId="0" applyFont="1" applyFill="1" applyBorder="1" applyAlignment="1" applyProtection="1">
      <alignment vertical="center" wrapText="1"/>
    </xf>
    <xf numFmtId="43" fontId="3" fillId="5" borderId="26" xfId="1" applyFont="1" applyFill="1" applyBorder="1" applyAlignment="1" applyProtection="1">
      <alignment horizontal="right" vertical="center"/>
    </xf>
    <xf numFmtId="0" fontId="6" fillId="0" borderId="6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6" fillId="0" borderId="22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vertical="center"/>
    </xf>
    <xf numFmtId="0" fontId="3" fillId="5" borderId="32" xfId="0" applyFont="1" applyFill="1" applyBorder="1" applyAlignment="1" applyProtection="1">
      <alignment vertical="center"/>
    </xf>
    <xf numFmtId="0" fontId="3" fillId="5" borderId="34" xfId="0" applyFont="1" applyFill="1" applyBorder="1" applyAlignment="1" applyProtection="1">
      <alignment vertical="center"/>
    </xf>
    <xf numFmtId="164" fontId="3" fillId="5" borderId="35" xfId="3" applyNumberFormat="1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vertical="center" wrapText="1"/>
    </xf>
    <xf numFmtId="164" fontId="3" fillId="0" borderId="26" xfId="3" applyNumberFormat="1" applyFont="1" applyFill="1" applyBorder="1" applyAlignment="1" applyProtection="1">
      <alignment horizontal="center" vertical="center"/>
    </xf>
    <xf numFmtId="43" fontId="3" fillId="0" borderId="26" xfId="1" applyFont="1" applyFill="1" applyBorder="1" applyAlignment="1" applyProtection="1">
      <alignment horizontal="right" vertical="center"/>
    </xf>
    <xf numFmtId="40" fontId="3" fillId="0" borderId="17" xfId="1" applyNumberFormat="1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169" fontId="6" fillId="3" borderId="4" xfId="2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6" fillId="0" borderId="4" xfId="0" applyFont="1" applyBorder="1" applyAlignment="1" applyProtection="1">
      <alignment vertical="center" wrapText="1"/>
    </xf>
    <xf numFmtId="0" fontId="3" fillId="4" borderId="4" xfId="0" applyFont="1" applyFill="1" applyBorder="1" applyAlignment="1" applyProtection="1">
      <alignment horizontal="left" wrapText="1"/>
    </xf>
    <xf numFmtId="0" fontId="14" fillId="0" borderId="0" xfId="0" applyFont="1" applyAlignment="1" applyProtection="1">
      <alignment horizontal="center" vertical="center" wrapText="1"/>
    </xf>
    <xf numFmtId="167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67" fontId="0" fillId="3" borderId="4" xfId="0" applyNumberFormat="1" applyFill="1" applyBorder="1" applyAlignment="1" applyProtection="1">
      <alignment horizontal="center" vertical="center"/>
      <protection locked="0"/>
    </xf>
    <xf numFmtId="168" fontId="6" fillId="0" borderId="4" xfId="0" applyNumberFormat="1" applyFont="1" applyBorder="1" applyAlignment="1" applyProtection="1">
      <alignment horizontal="center" vertical="center"/>
    </xf>
    <xf numFmtId="168" fontId="6" fillId="0" borderId="21" xfId="0" applyNumberFormat="1" applyFont="1" applyFill="1" applyBorder="1" applyAlignment="1" applyProtection="1">
      <alignment horizontal="center" vertical="center"/>
    </xf>
    <xf numFmtId="43" fontId="0" fillId="0" borderId="4" xfId="0" applyNumberFormat="1" applyBorder="1" applyAlignment="1" applyProtection="1">
      <alignment horizontal="center" vertical="center"/>
    </xf>
    <xf numFmtId="169" fontId="0" fillId="0" borderId="4" xfId="0" applyNumberFormat="1" applyBorder="1" applyAlignment="1" applyProtection="1">
      <alignment horizontal="center" vertical="center"/>
    </xf>
    <xf numFmtId="169" fontId="0" fillId="0" borderId="4" xfId="0" applyNumberFormat="1" applyBorder="1" applyAlignment="1" applyProtection="1">
      <alignment horizontal="center"/>
    </xf>
    <xf numFmtId="167" fontId="0" fillId="6" borderId="4" xfId="0" applyNumberFormat="1" applyFill="1" applyBorder="1" applyAlignment="1" applyProtection="1">
      <alignment horizontal="center" vertical="center"/>
    </xf>
    <xf numFmtId="43" fontId="6" fillId="0" borderId="21" xfId="1" applyNumberFormat="1" applyFont="1" applyBorder="1" applyAlignment="1" applyProtection="1">
      <alignment horizontal="right" vertical="center"/>
    </xf>
    <xf numFmtId="43" fontId="6" fillId="0" borderId="0" xfId="0" applyNumberFormat="1" applyFont="1" applyProtection="1"/>
    <xf numFmtId="43" fontId="6" fillId="0" borderId="21" xfId="1" applyNumberFormat="1" applyFont="1" applyFill="1" applyBorder="1" applyAlignment="1" applyProtection="1">
      <alignment vertical="center"/>
    </xf>
    <xf numFmtId="0" fontId="6" fillId="7" borderId="20" xfId="0" applyFont="1" applyFill="1" applyBorder="1" applyAlignment="1" applyProtection="1">
      <alignment vertical="center"/>
    </xf>
    <xf numFmtId="0" fontId="6" fillId="7" borderId="20" xfId="0" applyFont="1" applyFill="1" applyBorder="1" applyAlignment="1" applyProtection="1">
      <alignment vertical="center" wrapText="1"/>
    </xf>
    <xf numFmtId="0" fontId="6" fillId="7" borderId="23" xfId="0" applyFont="1" applyFill="1" applyBorder="1" applyAlignment="1" applyProtection="1">
      <alignment vertical="center" wrapText="1"/>
    </xf>
    <xf numFmtId="167" fontId="6" fillId="0" borderId="4" xfId="3" applyNumberFormat="1" applyFont="1" applyFill="1" applyBorder="1" applyAlignment="1" applyProtection="1">
      <alignment horizontal="center" vertical="center"/>
    </xf>
    <xf numFmtId="10" fontId="3" fillId="5" borderId="16" xfId="3" applyNumberFormat="1" applyFont="1" applyFill="1" applyBorder="1" applyAlignment="1" applyProtection="1">
      <alignment horizontal="center" vertical="center"/>
    </xf>
    <xf numFmtId="167" fontId="6" fillId="0" borderId="4" xfId="3" applyNumberFormat="1" applyFont="1" applyBorder="1" applyAlignment="1" applyProtection="1">
      <alignment horizontal="center" vertical="center"/>
    </xf>
    <xf numFmtId="170" fontId="6" fillId="0" borderId="2" xfId="3" applyNumberFormat="1" applyFont="1" applyBorder="1" applyAlignment="1" applyProtection="1">
      <alignment horizontal="center" vertical="center"/>
    </xf>
    <xf numFmtId="167" fontId="6" fillId="0" borderId="0" xfId="3" applyNumberFormat="1" applyFont="1" applyBorder="1" applyAlignment="1" applyProtection="1">
      <alignment horizontal="center" vertical="center"/>
    </xf>
    <xf numFmtId="167" fontId="3" fillId="5" borderId="16" xfId="3" applyNumberFormat="1" applyFont="1" applyFill="1" applyBorder="1" applyAlignment="1" applyProtection="1">
      <alignment horizontal="center" vertical="center"/>
    </xf>
    <xf numFmtId="167" fontId="3" fillId="5" borderId="26" xfId="3" applyNumberFormat="1" applyFont="1" applyFill="1" applyBorder="1" applyAlignment="1" applyProtection="1">
      <alignment horizontal="center" vertical="center"/>
    </xf>
    <xf numFmtId="170" fontId="6" fillId="0" borderId="4" xfId="3" applyNumberFormat="1" applyFont="1" applyFill="1" applyBorder="1" applyAlignment="1" applyProtection="1">
      <alignment horizontal="center" vertical="center"/>
    </xf>
    <xf numFmtId="170" fontId="3" fillId="5" borderId="16" xfId="3" applyNumberFormat="1" applyFont="1" applyFill="1" applyBorder="1" applyAlignment="1" applyProtection="1">
      <alignment horizontal="center" vertical="center"/>
    </xf>
    <xf numFmtId="0" fontId="6" fillId="8" borderId="20" xfId="0" applyFont="1" applyFill="1" applyBorder="1" applyAlignment="1" applyProtection="1">
      <alignment vertical="center"/>
    </xf>
    <xf numFmtId="0" fontId="6" fillId="8" borderId="23" xfId="0" applyFont="1" applyFill="1" applyBorder="1" applyAlignment="1" applyProtection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 applyProtection="1"/>
    <xf numFmtId="0" fontId="6" fillId="0" borderId="21" xfId="0" applyFont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vertical="center"/>
    </xf>
    <xf numFmtId="43" fontId="6" fillId="0" borderId="16" xfId="1" applyFont="1" applyBorder="1" applyAlignment="1" applyProtection="1">
      <alignment vertical="center"/>
    </xf>
    <xf numFmtId="0" fontId="0" fillId="0" borderId="39" xfId="0" applyBorder="1"/>
    <xf numFmtId="0" fontId="0" fillId="0" borderId="40" xfId="0" applyBorder="1"/>
    <xf numFmtId="0" fontId="24" fillId="9" borderId="43" xfId="0" applyFont="1" applyFill="1" applyBorder="1" applyAlignment="1">
      <alignment horizontal="center" vertical="center"/>
    </xf>
    <xf numFmtId="0" fontId="25" fillId="9" borderId="41" xfId="0" applyFont="1" applyFill="1" applyBorder="1" applyAlignment="1">
      <alignment vertical="center"/>
    </xf>
    <xf numFmtId="0" fontId="25" fillId="9" borderId="45" xfId="0" applyFont="1" applyFill="1" applyBorder="1" applyAlignment="1">
      <alignment vertical="center"/>
    </xf>
    <xf numFmtId="167" fontId="25" fillId="9" borderId="46" xfId="0" applyNumberFormat="1" applyFont="1" applyFill="1" applyBorder="1" applyAlignment="1">
      <alignment horizontal="center" vertical="center"/>
    </xf>
    <xf numFmtId="0" fontId="25" fillId="9" borderId="47" xfId="0" applyFont="1" applyFill="1" applyBorder="1" applyAlignment="1">
      <alignment vertical="center"/>
    </xf>
    <xf numFmtId="0" fontId="24" fillId="0" borderId="48" xfId="0" applyFont="1" applyBorder="1" applyAlignment="1">
      <alignment horizontal="center" vertical="center"/>
    </xf>
    <xf numFmtId="0" fontId="25" fillId="9" borderId="48" xfId="0" applyFont="1" applyFill="1" applyBorder="1" applyAlignment="1">
      <alignment vertical="center"/>
    </xf>
    <xf numFmtId="0" fontId="25" fillId="9" borderId="49" xfId="0" applyFont="1" applyFill="1" applyBorder="1" applyAlignment="1">
      <alignment vertical="center"/>
    </xf>
    <xf numFmtId="0" fontId="25" fillId="9" borderId="50" xfId="0" applyFont="1" applyFill="1" applyBorder="1" applyAlignment="1">
      <alignment vertical="center"/>
    </xf>
    <xf numFmtId="0" fontId="25" fillId="9" borderId="51" xfId="0" applyFont="1" applyFill="1" applyBorder="1" applyAlignment="1">
      <alignment vertical="center"/>
    </xf>
    <xf numFmtId="0" fontId="24" fillId="10" borderId="44" xfId="0" applyFont="1" applyFill="1" applyBorder="1" applyAlignment="1">
      <alignment horizontal="center" vertical="center" wrapText="1"/>
    </xf>
    <xf numFmtId="0" fontId="25" fillId="0" borderId="42" xfId="0" applyFont="1" applyBorder="1" applyAlignment="1">
      <alignment vertical="center" wrapText="1"/>
    </xf>
    <xf numFmtId="0" fontId="25" fillId="0" borderId="52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9" borderId="47" xfId="0" applyFont="1" applyFill="1" applyBorder="1" applyAlignment="1">
      <alignment horizontal="center" vertical="center"/>
    </xf>
    <xf numFmtId="0" fontId="25" fillId="0" borderId="48" xfId="0" applyFont="1" applyBorder="1" applyAlignment="1">
      <alignment vertical="center" wrapText="1"/>
    </xf>
    <xf numFmtId="169" fontId="25" fillId="0" borderId="46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5" fillId="0" borderId="44" xfId="0" applyFont="1" applyBorder="1" applyAlignment="1">
      <alignment vertical="center" wrapText="1"/>
    </xf>
    <xf numFmtId="169" fontId="25" fillId="0" borderId="50" xfId="0" applyNumberFormat="1" applyFont="1" applyBorder="1" applyAlignment="1">
      <alignment horizontal="center" vertical="center"/>
    </xf>
    <xf numFmtId="0" fontId="24" fillId="10" borderId="53" xfId="0" applyFont="1" applyFill="1" applyBorder="1" applyAlignment="1">
      <alignment horizontal="center" vertical="center"/>
    </xf>
    <xf numFmtId="169" fontId="24" fillId="10" borderId="0" xfId="0" applyNumberFormat="1" applyFont="1" applyFill="1" applyBorder="1" applyAlignment="1">
      <alignment horizontal="center" vertical="center"/>
    </xf>
    <xf numFmtId="0" fontId="24" fillId="0" borderId="42" xfId="0" applyFont="1" applyBorder="1" applyAlignment="1">
      <alignment vertical="center"/>
    </xf>
    <xf numFmtId="0" fontId="24" fillId="0" borderId="52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/>
    </xf>
    <xf numFmtId="167" fontId="25" fillId="0" borderId="43" xfId="0" applyNumberFormat="1" applyFont="1" applyBorder="1" applyAlignment="1">
      <alignment horizontal="center" vertical="center"/>
    </xf>
    <xf numFmtId="167" fontId="25" fillId="0" borderId="0" xfId="0" applyNumberFormat="1" applyFont="1" applyBorder="1" applyAlignment="1">
      <alignment horizontal="center" vertical="center"/>
    </xf>
    <xf numFmtId="167" fontId="24" fillId="10" borderId="53" xfId="0" applyNumberFormat="1" applyFont="1" applyFill="1" applyBorder="1" applyAlignment="1">
      <alignment horizontal="center" vertical="center"/>
    </xf>
    <xf numFmtId="4" fontId="25" fillId="9" borderId="46" xfId="0" applyNumberFormat="1" applyFont="1" applyFill="1" applyBorder="1" applyAlignment="1">
      <alignment horizontal="center" vertical="center"/>
    </xf>
    <xf numFmtId="4" fontId="25" fillId="0" borderId="46" xfId="0" applyNumberFormat="1" applyFont="1" applyBorder="1" applyAlignment="1">
      <alignment horizontal="center" vertical="center"/>
    </xf>
    <xf numFmtId="4" fontId="25" fillId="0" borderId="50" xfId="0" applyNumberFormat="1" applyFont="1" applyBorder="1" applyAlignment="1">
      <alignment horizontal="center" vertical="center"/>
    </xf>
    <xf numFmtId="4" fontId="24" fillId="10" borderId="0" xfId="0" applyNumberFormat="1" applyFont="1" applyFill="1" applyBorder="1" applyAlignment="1">
      <alignment horizontal="center" vertical="center"/>
    </xf>
    <xf numFmtId="0" fontId="24" fillId="9" borderId="46" xfId="0" applyNumberFormat="1" applyFont="1" applyFill="1" applyBorder="1" applyAlignment="1">
      <alignment horizontal="center" vertical="center"/>
    </xf>
    <xf numFmtId="167" fontId="6" fillId="0" borderId="21" xfId="3" applyNumberFormat="1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26" fillId="2" borderId="1" xfId="0" applyFont="1" applyFill="1" applyBorder="1" applyAlignment="1" applyProtection="1">
      <alignment horizontal="center" vertical="center" wrapText="1"/>
    </xf>
    <xf numFmtId="0" fontId="26" fillId="2" borderId="2" xfId="0" applyFont="1" applyFill="1" applyBorder="1" applyAlignment="1" applyProtection="1">
      <alignment horizontal="center" vertical="center" wrapText="1"/>
    </xf>
    <xf numFmtId="0" fontId="26" fillId="2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  <xf numFmtId="0" fontId="2" fillId="0" borderId="4" xfId="0" applyFont="1" applyBorder="1" applyAlignment="1" applyProtection="1">
      <alignment vertical="center"/>
    </xf>
    <xf numFmtId="0" fontId="15" fillId="0" borderId="0" xfId="0" applyFont="1" applyAlignment="1" applyProtection="1">
      <alignment horizontal="left" vertical="top" wrapText="1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31" xfId="0" applyFont="1" applyBorder="1" applyAlignment="1" applyProtection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6" fillId="5" borderId="6" xfId="0" applyFont="1" applyFill="1" applyBorder="1" applyAlignment="1" applyProtection="1">
      <alignment horizontal="center" vertical="center"/>
    </xf>
    <xf numFmtId="0" fontId="16" fillId="5" borderId="7" xfId="0" applyFont="1" applyFill="1" applyBorder="1" applyAlignment="1" applyProtection="1">
      <alignment horizontal="center" vertical="center"/>
    </xf>
    <xf numFmtId="0" fontId="16" fillId="5" borderId="8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6" fillId="0" borderId="18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vertical="center" wrapText="1"/>
    </xf>
    <xf numFmtId="0" fontId="6" fillId="0" borderId="7" xfId="0" applyFont="1" applyBorder="1" applyAlignment="1" applyProtection="1">
      <alignment vertical="center" wrapText="1"/>
    </xf>
    <xf numFmtId="0" fontId="6" fillId="0" borderId="8" xfId="0" applyFont="1" applyBorder="1" applyAlignment="1" applyProtection="1">
      <alignment vertical="center" wrapText="1"/>
    </xf>
    <xf numFmtId="0" fontId="6" fillId="0" borderId="31" xfId="0" applyFont="1" applyBorder="1" applyAlignment="1" applyProtection="1">
      <alignment horizontal="center" vertical="center"/>
    </xf>
    <xf numFmtId="0" fontId="24" fillId="9" borderId="36" xfId="0" applyFont="1" applyFill="1" applyBorder="1" applyAlignment="1">
      <alignment horizontal="center" vertical="center"/>
    </xf>
    <xf numFmtId="0" fontId="0" fillId="0" borderId="37" xfId="0" applyBorder="1" applyAlignment="1"/>
    <xf numFmtId="0" fontId="0" fillId="0" borderId="38" xfId="0" applyBorder="1" applyAlignment="1"/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3"/>
  <sheetViews>
    <sheetView tabSelected="1" topLeftCell="A4" workbookViewId="0">
      <selection activeCell="C16" sqref="C16"/>
    </sheetView>
  </sheetViews>
  <sheetFormatPr defaultRowHeight="15" x14ac:dyDescent="0.25"/>
  <cols>
    <col min="1" max="1" width="4.28515625" style="1" customWidth="1"/>
    <col min="2" max="2" width="67.7109375" style="1" customWidth="1"/>
    <col min="3" max="7" width="18.5703125" style="1" customWidth="1"/>
    <col min="8" max="257" width="9.140625" style="1"/>
    <col min="258" max="258" width="51.28515625" style="1" bestFit="1" customWidth="1"/>
    <col min="259" max="259" width="18.5703125" style="1" customWidth="1"/>
    <col min="260" max="260" width="22.5703125" style="1" bestFit="1" customWidth="1"/>
    <col min="261" max="261" width="14.5703125" style="1" bestFit="1" customWidth="1"/>
    <col min="262" max="262" width="17.28515625" style="1" bestFit="1" customWidth="1"/>
    <col min="263" max="263" width="15.7109375" style="1" bestFit="1" customWidth="1"/>
    <col min="264" max="513" width="9.140625" style="1"/>
    <col min="514" max="514" width="51.28515625" style="1" bestFit="1" customWidth="1"/>
    <col min="515" max="515" width="18.5703125" style="1" customWidth="1"/>
    <col min="516" max="516" width="22.5703125" style="1" bestFit="1" customWidth="1"/>
    <col min="517" max="517" width="14.5703125" style="1" bestFit="1" customWidth="1"/>
    <col min="518" max="518" width="17.28515625" style="1" bestFit="1" customWidth="1"/>
    <col min="519" max="519" width="15.7109375" style="1" bestFit="1" customWidth="1"/>
    <col min="520" max="769" width="9.140625" style="1"/>
    <col min="770" max="770" width="51.28515625" style="1" bestFit="1" customWidth="1"/>
    <col min="771" max="771" width="18.5703125" style="1" customWidth="1"/>
    <col min="772" max="772" width="22.5703125" style="1" bestFit="1" customWidth="1"/>
    <col min="773" max="773" width="14.5703125" style="1" bestFit="1" customWidth="1"/>
    <col min="774" max="774" width="17.28515625" style="1" bestFit="1" customWidth="1"/>
    <col min="775" max="775" width="15.7109375" style="1" bestFit="1" customWidth="1"/>
    <col min="776" max="1025" width="9.140625" style="1"/>
    <col min="1026" max="1026" width="51.28515625" style="1" bestFit="1" customWidth="1"/>
    <col min="1027" max="1027" width="18.5703125" style="1" customWidth="1"/>
    <col min="1028" max="1028" width="22.5703125" style="1" bestFit="1" customWidth="1"/>
    <col min="1029" max="1029" width="14.5703125" style="1" bestFit="1" customWidth="1"/>
    <col min="1030" max="1030" width="17.28515625" style="1" bestFit="1" customWidth="1"/>
    <col min="1031" max="1031" width="15.7109375" style="1" bestFit="1" customWidth="1"/>
    <col min="1032" max="1281" width="9.140625" style="1"/>
    <col min="1282" max="1282" width="51.28515625" style="1" bestFit="1" customWidth="1"/>
    <col min="1283" max="1283" width="18.5703125" style="1" customWidth="1"/>
    <col min="1284" max="1284" width="22.5703125" style="1" bestFit="1" customWidth="1"/>
    <col min="1285" max="1285" width="14.5703125" style="1" bestFit="1" customWidth="1"/>
    <col min="1286" max="1286" width="17.28515625" style="1" bestFit="1" customWidth="1"/>
    <col min="1287" max="1287" width="15.7109375" style="1" bestFit="1" customWidth="1"/>
    <col min="1288" max="1537" width="9.140625" style="1"/>
    <col min="1538" max="1538" width="51.28515625" style="1" bestFit="1" customWidth="1"/>
    <col min="1539" max="1539" width="18.5703125" style="1" customWidth="1"/>
    <col min="1540" max="1540" width="22.5703125" style="1" bestFit="1" customWidth="1"/>
    <col min="1541" max="1541" width="14.5703125" style="1" bestFit="1" customWidth="1"/>
    <col min="1542" max="1542" width="17.28515625" style="1" bestFit="1" customWidth="1"/>
    <col min="1543" max="1543" width="15.7109375" style="1" bestFit="1" customWidth="1"/>
    <col min="1544" max="1793" width="9.140625" style="1"/>
    <col min="1794" max="1794" width="51.28515625" style="1" bestFit="1" customWidth="1"/>
    <col min="1795" max="1795" width="18.5703125" style="1" customWidth="1"/>
    <col min="1796" max="1796" width="22.5703125" style="1" bestFit="1" customWidth="1"/>
    <col min="1797" max="1797" width="14.5703125" style="1" bestFit="1" customWidth="1"/>
    <col min="1798" max="1798" width="17.28515625" style="1" bestFit="1" customWidth="1"/>
    <col min="1799" max="1799" width="15.7109375" style="1" bestFit="1" customWidth="1"/>
    <col min="1800" max="2049" width="9.140625" style="1"/>
    <col min="2050" max="2050" width="51.28515625" style="1" bestFit="1" customWidth="1"/>
    <col min="2051" max="2051" width="18.5703125" style="1" customWidth="1"/>
    <col min="2052" max="2052" width="22.5703125" style="1" bestFit="1" customWidth="1"/>
    <col min="2053" max="2053" width="14.5703125" style="1" bestFit="1" customWidth="1"/>
    <col min="2054" max="2054" width="17.28515625" style="1" bestFit="1" customWidth="1"/>
    <col min="2055" max="2055" width="15.7109375" style="1" bestFit="1" customWidth="1"/>
    <col min="2056" max="2305" width="9.140625" style="1"/>
    <col min="2306" max="2306" width="51.28515625" style="1" bestFit="1" customWidth="1"/>
    <col min="2307" max="2307" width="18.5703125" style="1" customWidth="1"/>
    <col min="2308" max="2308" width="22.5703125" style="1" bestFit="1" customWidth="1"/>
    <col min="2309" max="2309" width="14.5703125" style="1" bestFit="1" customWidth="1"/>
    <col min="2310" max="2310" width="17.28515625" style="1" bestFit="1" customWidth="1"/>
    <col min="2311" max="2311" width="15.7109375" style="1" bestFit="1" customWidth="1"/>
    <col min="2312" max="2561" width="9.140625" style="1"/>
    <col min="2562" max="2562" width="51.28515625" style="1" bestFit="1" customWidth="1"/>
    <col min="2563" max="2563" width="18.5703125" style="1" customWidth="1"/>
    <col min="2564" max="2564" width="22.5703125" style="1" bestFit="1" customWidth="1"/>
    <col min="2565" max="2565" width="14.5703125" style="1" bestFit="1" customWidth="1"/>
    <col min="2566" max="2566" width="17.28515625" style="1" bestFit="1" customWidth="1"/>
    <col min="2567" max="2567" width="15.7109375" style="1" bestFit="1" customWidth="1"/>
    <col min="2568" max="2817" width="9.140625" style="1"/>
    <col min="2818" max="2818" width="51.28515625" style="1" bestFit="1" customWidth="1"/>
    <col min="2819" max="2819" width="18.5703125" style="1" customWidth="1"/>
    <col min="2820" max="2820" width="22.5703125" style="1" bestFit="1" customWidth="1"/>
    <col min="2821" max="2821" width="14.5703125" style="1" bestFit="1" customWidth="1"/>
    <col min="2822" max="2822" width="17.28515625" style="1" bestFit="1" customWidth="1"/>
    <col min="2823" max="2823" width="15.7109375" style="1" bestFit="1" customWidth="1"/>
    <col min="2824" max="3073" width="9.140625" style="1"/>
    <col min="3074" max="3074" width="51.28515625" style="1" bestFit="1" customWidth="1"/>
    <col min="3075" max="3075" width="18.5703125" style="1" customWidth="1"/>
    <col min="3076" max="3076" width="22.5703125" style="1" bestFit="1" customWidth="1"/>
    <col min="3077" max="3077" width="14.5703125" style="1" bestFit="1" customWidth="1"/>
    <col min="3078" max="3078" width="17.28515625" style="1" bestFit="1" customWidth="1"/>
    <col min="3079" max="3079" width="15.7109375" style="1" bestFit="1" customWidth="1"/>
    <col min="3080" max="3329" width="9.140625" style="1"/>
    <col min="3330" max="3330" width="51.28515625" style="1" bestFit="1" customWidth="1"/>
    <col min="3331" max="3331" width="18.5703125" style="1" customWidth="1"/>
    <col min="3332" max="3332" width="22.5703125" style="1" bestFit="1" customWidth="1"/>
    <col min="3333" max="3333" width="14.5703125" style="1" bestFit="1" customWidth="1"/>
    <col min="3334" max="3334" width="17.28515625" style="1" bestFit="1" customWidth="1"/>
    <col min="3335" max="3335" width="15.7109375" style="1" bestFit="1" customWidth="1"/>
    <col min="3336" max="3585" width="9.140625" style="1"/>
    <col min="3586" max="3586" width="51.28515625" style="1" bestFit="1" customWidth="1"/>
    <col min="3587" max="3587" width="18.5703125" style="1" customWidth="1"/>
    <col min="3588" max="3588" width="22.5703125" style="1" bestFit="1" customWidth="1"/>
    <col min="3589" max="3589" width="14.5703125" style="1" bestFit="1" customWidth="1"/>
    <col min="3590" max="3590" width="17.28515625" style="1" bestFit="1" customWidth="1"/>
    <col min="3591" max="3591" width="15.7109375" style="1" bestFit="1" customWidth="1"/>
    <col min="3592" max="3841" width="9.140625" style="1"/>
    <col min="3842" max="3842" width="51.28515625" style="1" bestFit="1" customWidth="1"/>
    <col min="3843" max="3843" width="18.5703125" style="1" customWidth="1"/>
    <col min="3844" max="3844" width="22.5703125" style="1" bestFit="1" customWidth="1"/>
    <col min="3845" max="3845" width="14.5703125" style="1" bestFit="1" customWidth="1"/>
    <col min="3846" max="3846" width="17.28515625" style="1" bestFit="1" customWidth="1"/>
    <col min="3847" max="3847" width="15.7109375" style="1" bestFit="1" customWidth="1"/>
    <col min="3848" max="4097" width="9.140625" style="1"/>
    <col min="4098" max="4098" width="51.28515625" style="1" bestFit="1" customWidth="1"/>
    <col min="4099" max="4099" width="18.5703125" style="1" customWidth="1"/>
    <col min="4100" max="4100" width="22.5703125" style="1" bestFit="1" customWidth="1"/>
    <col min="4101" max="4101" width="14.5703125" style="1" bestFit="1" customWidth="1"/>
    <col min="4102" max="4102" width="17.28515625" style="1" bestFit="1" customWidth="1"/>
    <col min="4103" max="4103" width="15.7109375" style="1" bestFit="1" customWidth="1"/>
    <col min="4104" max="4353" width="9.140625" style="1"/>
    <col min="4354" max="4354" width="51.28515625" style="1" bestFit="1" customWidth="1"/>
    <col min="4355" max="4355" width="18.5703125" style="1" customWidth="1"/>
    <col min="4356" max="4356" width="22.5703125" style="1" bestFit="1" customWidth="1"/>
    <col min="4357" max="4357" width="14.5703125" style="1" bestFit="1" customWidth="1"/>
    <col min="4358" max="4358" width="17.28515625" style="1" bestFit="1" customWidth="1"/>
    <col min="4359" max="4359" width="15.7109375" style="1" bestFit="1" customWidth="1"/>
    <col min="4360" max="4609" width="9.140625" style="1"/>
    <col min="4610" max="4610" width="51.28515625" style="1" bestFit="1" customWidth="1"/>
    <col min="4611" max="4611" width="18.5703125" style="1" customWidth="1"/>
    <col min="4612" max="4612" width="22.5703125" style="1" bestFit="1" customWidth="1"/>
    <col min="4613" max="4613" width="14.5703125" style="1" bestFit="1" customWidth="1"/>
    <col min="4614" max="4614" width="17.28515625" style="1" bestFit="1" customWidth="1"/>
    <col min="4615" max="4615" width="15.7109375" style="1" bestFit="1" customWidth="1"/>
    <col min="4616" max="4865" width="9.140625" style="1"/>
    <col min="4866" max="4866" width="51.28515625" style="1" bestFit="1" customWidth="1"/>
    <col min="4867" max="4867" width="18.5703125" style="1" customWidth="1"/>
    <col min="4868" max="4868" width="22.5703125" style="1" bestFit="1" customWidth="1"/>
    <col min="4869" max="4869" width="14.5703125" style="1" bestFit="1" customWidth="1"/>
    <col min="4870" max="4870" width="17.28515625" style="1" bestFit="1" customWidth="1"/>
    <col min="4871" max="4871" width="15.7109375" style="1" bestFit="1" customWidth="1"/>
    <col min="4872" max="5121" width="9.140625" style="1"/>
    <col min="5122" max="5122" width="51.28515625" style="1" bestFit="1" customWidth="1"/>
    <col min="5123" max="5123" width="18.5703125" style="1" customWidth="1"/>
    <col min="5124" max="5124" width="22.5703125" style="1" bestFit="1" customWidth="1"/>
    <col min="5125" max="5125" width="14.5703125" style="1" bestFit="1" customWidth="1"/>
    <col min="5126" max="5126" width="17.28515625" style="1" bestFit="1" customWidth="1"/>
    <col min="5127" max="5127" width="15.7109375" style="1" bestFit="1" customWidth="1"/>
    <col min="5128" max="5377" width="9.140625" style="1"/>
    <col min="5378" max="5378" width="51.28515625" style="1" bestFit="1" customWidth="1"/>
    <col min="5379" max="5379" width="18.5703125" style="1" customWidth="1"/>
    <col min="5380" max="5380" width="22.5703125" style="1" bestFit="1" customWidth="1"/>
    <col min="5381" max="5381" width="14.5703125" style="1" bestFit="1" customWidth="1"/>
    <col min="5382" max="5382" width="17.28515625" style="1" bestFit="1" customWidth="1"/>
    <col min="5383" max="5383" width="15.7109375" style="1" bestFit="1" customWidth="1"/>
    <col min="5384" max="5633" width="9.140625" style="1"/>
    <col min="5634" max="5634" width="51.28515625" style="1" bestFit="1" customWidth="1"/>
    <col min="5635" max="5635" width="18.5703125" style="1" customWidth="1"/>
    <col min="5636" max="5636" width="22.5703125" style="1" bestFit="1" customWidth="1"/>
    <col min="5637" max="5637" width="14.5703125" style="1" bestFit="1" customWidth="1"/>
    <col min="5638" max="5638" width="17.28515625" style="1" bestFit="1" customWidth="1"/>
    <col min="5639" max="5639" width="15.7109375" style="1" bestFit="1" customWidth="1"/>
    <col min="5640" max="5889" width="9.140625" style="1"/>
    <col min="5890" max="5890" width="51.28515625" style="1" bestFit="1" customWidth="1"/>
    <col min="5891" max="5891" width="18.5703125" style="1" customWidth="1"/>
    <col min="5892" max="5892" width="22.5703125" style="1" bestFit="1" customWidth="1"/>
    <col min="5893" max="5893" width="14.5703125" style="1" bestFit="1" customWidth="1"/>
    <col min="5894" max="5894" width="17.28515625" style="1" bestFit="1" customWidth="1"/>
    <col min="5895" max="5895" width="15.7109375" style="1" bestFit="1" customWidth="1"/>
    <col min="5896" max="6145" width="9.140625" style="1"/>
    <col min="6146" max="6146" width="51.28515625" style="1" bestFit="1" customWidth="1"/>
    <col min="6147" max="6147" width="18.5703125" style="1" customWidth="1"/>
    <col min="6148" max="6148" width="22.5703125" style="1" bestFit="1" customWidth="1"/>
    <col min="6149" max="6149" width="14.5703125" style="1" bestFit="1" customWidth="1"/>
    <col min="6150" max="6150" width="17.28515625" style="1" bestFit="1" customWidth="1"/>
    <col min="6151" max="6151" width="15.7109375" style="1" bestFit="1" customWidth="1"/>
    <col min="6152" max="6401" width="9.140625" style="1"/>
    <col min="6402" max="6402" width="51.28515625" style="1" bestFit="1" customWidth="1"/>
    <col min="6403" max="6403" width="18.5703125" style="1" customWidth="1"/>
    <col min="6404" max="6404" width="22.5703125" style="1" bestFit="1" customWidth="1"/>
    <col min="6405" max="6405" width="14.5703125" style="1" bestFit="1" customWidth="1"/>
    <col min="6406" max="6406" width="17.28515625" style="1" bestFit="1" customWidth="1"/>
    <col min="6407" max="6407" width="15.7109375" style="1" bestFit="1" customWidth="1"/>
    <col min="6408" max="6657" width="9.140625" style="1"/>
    <col min="6658" max="6658" width="51.28515625" style="1" bestFit="1" customWidth="1"/>
    <col min="6659" max="6659" width="18.5703125" style="1" customWidth="1"/>
    <col min="6660" max="6660" width="22.5703125" style="1" bestFit="1" customWidth="1"/>
    <col min="6661" max="6661" width="14.5703125" style="1" bestFit="1" customWidth="1"/>
    <col min="6662" max="6662" width="17.28515625" style="1" bestFit="1" customWidth="1"/>
    <col min="6663" max="6663" width="15.7109375" style="1" bestFit="1" customWidth="1"/>
    <col min="6664" max="6913" width="9.140625" style="1"/>
    <col min="6914" max="6914" width="51.28515625" style="1" bestFit="1" customWidth="1"/>
    <col min="6915" max="6915" width="18.5703125" style="1" customWidth="1"/>
    <col min="6916" max="6916" width="22.5703125" style="1" bestFit="1" customWidth="1"/>
    <col min="6917" max="6917" width="14.5703125" style="1" bestFit="1" customWidth="1"/>
    <col min="6918" max="6918" width="17.28515625" style="1" bestFit="1" customWidth="1"/>
    <col min="6919" max="6919" width="15.7109375" style="1" bestFit="1" customWidth="1"/>
    <col min="6920" max="7169" width="9.140625" style="1"/>
    <col min="7170" max="7170" width="51.28515625" style="1" bestFit="1" customWidth="1"/>
    <col min="7171" max="7171" width="18.5703125" style="1" customWidth="1"/>
    <col min="7172" max="7172" width="22.5703125" style="1" bestFit="1" customWidth="1"/>
    <col min="7173" max="7173" width="14.5703125" style="1" bestFit="1" customWidth="1"/>
    <col min="7174" max="7174" width="17.28515625" style="1" bestFit="1" customWidth="1"/>
    <col min="7175" max="7175" width="15.7109375" style="1" bestFit="1" customWidth="1"/>
    <col min="7176" max="7425" width="9.140625" style="1"/>
    <col min="7426" max="7426" width="51.28515625" style="1" bestFit="1" customWidth="1"/>
    <col min="7427" max="7427" width="18.5703125" style="1" customWidth="1"/>
    <col min="7428" max="7428" width="22.5703125" style="1" bestFit="1" customWidth="1"/>
    <col min="7429" max="7429" width="14.5703125" style="1" bestFit="1" customWidth="1"/>
    <col min="7430" max="7430" width="17.28515625" style="1" bestFit="1" customWidth="1"/>
    <col min="7431" max="7431" width="15.7109375" style="1" bestFit="1" customWidth="1"/>
    <col min="7432" max="7681" width="9.140625" style="1"/>
    <col min="7682" max="7682" width="51.28515625" style="1" bestFit="1" customWidth="1"/>
    <col min="7683" max="7683" width="18.5703125" style="1" customWidth="1"/>
    <col min="7684" max="7684" width="22.5703125" style="1" bestFit="1" customWidth="1"/>
    <col min="7685" max="7685" width="14.5703125" style="1" bestFit="1" customWidth="1"/>
    <col min="7686" max="7686" width="17.28515625" style="1" bestFit="1" customWidth="1"/>
    <col min="7687" max="7687" width="15.7109375" style="1" bestFit="1" customWidth="1"/>
    <col min="7688" max="7937" width="9.140625" style="1"/>
    <col min="7938" max="7938" width="51.28515625" style="1" bestFit="1" customWidth="1"/>
    <col min="7939" max="7939" width="18.5703125" style="1" customWidth="1"/>
    <col min="7940" max="7940" width="22.5703125" style="1" bestFit="1" customWidth="1"/>
    <col min="7941" max="7941" width="14.5703125" style="1" bestFit="1" customWidth="1"/>
    <col min="7942" max="7942" width="17.28515625" style="1" bestFit="1" customWidth="1"/>
    <col min="7943" max="7943" width="15.7109375" style="1" bestFit="1" customWidth="1"/>
    <col min="7944" max="8193" width="9.140625" style="1"/>
    <col min="8194" max="8194" width="51.28515625" style="1" bestFit="1" customWidth="1"/>
    <col min="8195" max="8195" width="18.5703125" style="1" customWidth="1"/>
    <col min="8196" max="8196" width="22.5703125" style="1" bestFit="1" customWidth="1"/>
    <col min="8197" max="8197" width="14.5703125" style="1" bestFit="1" customWidth="1"/>
    <col min="8198" max="8198" width="17.28515625" style="1" bestFit="1" customWidth="1"/>
    <col min="8199" max="8199" width="15.7109375" style="1" bestFit="1" customWidth="1"/>
    <col min="8200" max="8449" width="9.140625" style="1"/>
    <col min="8450" max="8450" width="51.28515625" style="1" bestFit="1" customWidth="1"/>
    <col min="8451" max="8451" width="18.5703125" style="1" customWidth="1"/>
    <col min="8452" max="8452" width="22.5703125" style="1" bestFit="1" customWidth="1"/>
    <col min="8453" max="8453" width="14.5703125" style="1" bestFit="1" customWidth="1"/>
    <col min="8454" max="8454" width="17.28515625" style="1" bestFit="1" customWidth="1"/>
    <col min="8455" max="8455" width="15.7109375" style="1" bestFit="1" customWidth="1"/>
    <col min="8456" max="8705" width="9.140625" style="1"/>
    <col min="8706" max="8706" width="51.28515625" style="1" bestFit="1" customWidth="1"/>
    <col min="8707" max="8707" width="18.5703125" style="1" customWidth="1"/>
    <col min="8708" max="8708" width="22.5703125" style="1" bestFit="1" customWidth="1"/>
    <col min="8709" max="8709" width="14.5703125" style="1" bestFit="1" customWidth="1"/>
    <col min="8710" max="8710" width="17.28515625" style="1" bestFit="1" customWidth="1"/>
    <col min="8711" max="8711" width="15.7109375" style="1" bestFit="1" customWidth="1"/>
    <col min="8712" max="8961" width="9.140625" style="1"/>
    <col min="8962" max="8962" width="51.28515625" style="1" bestFit="1" customWidth="1"/>
    <col min="8963" max="8963" width="18.5703125" style="1" customWidth="1"/>
    <col min="8964" max="8964" width="22.5703125" style="1" bestFit="1" customWidth="1"/>
    <col min="8965" max="8965" width="14.5703125" style="1" bestFit="1" customWidth="1"/>
    <col min="8966" max="8966" width="17.28515625" style="1" bestFit="1" customWidth="1"/>
    <col min="8967" max="8967" width="15.7109375" style="1" bestFit="1" customWidth="1"/>
    <col min="8968" max="9217" width="9.140625" style="1"/>
    <col min="9218" max="9218" width="51.28515625" style="1" bestFit="1" customWidth="1"/>
    <col min="9219" max="9219" width="18.5703125" style="1" customWidth="1"/>
    <col min="9220" max="9220" width="22.5703125" style="1" bestFit="1" customWidth="1"/>
    <col min="9221" max="9221" width="14.5703125" style="1" bestFit="1" customWidth="1"/>
    <col min="9222" max="9222" width="17.28515625" style="1" bestFit="1" customWidth="1"/>
    <col min="9223" max="9223" width="15.7109375" style="1" bestFit="1" customWidth="1"/>
    <col min="9224" max="9473" width="9.140625" style="1"/>
    <col min="9474" max="9474" width="51.28515625" style="1" bestFit="1" customWidth="1"/>
    <col min="9475" max="9475" width="18.5703125" style="1" customWidth="1"/>
    <col min="9476" max="9476" width="22.5703125" style="1" bestFit="1" customWidth="1"/>
    <col min="9477" max="9477" width="14.5703125" style="1" bestFit="1" customWidth="1"/>
    <col min="9478" max="9478" width="17.28515625" style="1" bestFit="1" customWidth="1"/>
    <col min="9479" max="9479" width="15.7109375" style="1" bestFit="1" customWidth="1"/>
    <col min="9480" max="9729" width="9.140625" style="1"/>
    <col min="9730" max="9730" width="51.28515625" style="1" bestFit="1" customWidth="1"/>
    <col min="9731" max="9731" width="18.5703125" style="1" customWidth="1"/>
    <col min="9732" max="9732" width="22.5703125" style="1" bestFit="1" customWidth="1"/>
    <col min="9733" max="9733" width="14.5703125" style="1" bestFit="1" customWidth="1"/>
    <col min="9734" max="9734" width="17.28515625" style="1" bestFit="1" customWidth="1"/>
    <col min="9735" max="9735" width="15.7109375" style="1" bestFit="1" customWidth="1"/>
    <col min="9736" max="9985" width="9.140625" style="1"/>
    <col min="9986" max="9986" width="51.28515625" style="1" bestFit="1" customWidth="1"/>
    <col min="9987" max="9987" width="18.5703125" style="1" customWidth="1"/>
    <col min="9988" max="9988" width="22.5703125" style="1" bestFit="1" customWidth="1"/>
    <col min="9989" max="9989" width="14.5703125" style="1" bestFit="1" customWidth="1"/>
    <col min="9990" max="9990" width="17.28515625" style="1" bestFit="1" customWidth="1"/>
    <col min="9991" max="9991" width="15.7109375" style="1" bestFit="1" customWidth="1"/>
    <col min="9992" max="10241" width="9.140625" style="1"/>
    <col min="10242" max="10242" width="51.28515625" style="1" bestFit="1" customWidth="1"/>
    <col min="10243" max="10243" width="18.5703125" style="1" customWidth="1"/>
    <col min="10244" max="10244" width="22.5703125" style="1" bestFit="1" customWidth="1"/>
    <col min="10245" max="10245" width="14.5703125" style="1" bestFit="1" customWidth="1"/>
    <col min="10246" max="10246" width="17.28515625" style="1" bestFit="1" customWidth="1"/>
    <col min="10247" max="10247" width="15.7109375" style="1" bestFit="1" customWidth="1"/>
    <col min="10248" max="10497" width="9.140625" style="1"/>
    <col min="10498" max="10498" width="51.28515625" style="1" bestFit="1" customWidth="1"/>
    <col min="10499" max="10499" width="18.5703125" style="1" customWidth="1"/>
    <col min="10500" max="10500" width="22.5703125" style="1" bestFit="1" customWidth="1"/>
    <col min="10501" max="10501" width="14.5703125" style="1" bestFit="1" customWidth="1"/>
    <col min="10502" max="10502" width="17.28515625" style="1" bestFit="1" customWidth="1"/>
    <col min="10503" max="10503" width="15.7109375" style="1" bestFit="1" customWidth="1"/>
    <col min="10504" max="10753" width="9.140625" style="1"/>
    <col min="10754" max="10754" width="51.28515625" style="1" bestFit="1" customWidth="1"/>
    <col min="10755" max="10755" width="18.5703125" style="1" customWidth="1"/>
    <col min="10756" max="10756" width="22.5703125" style="1" bestFit="1" customWidth="1"/>
    <col min="10757" max="10757" width="14.5703125" style="1" bestFit="1" customWidth="1"/>
    <col min="10758" max="10758" width="17.28515625" style="1" bestFit="1" customWidth="1"/>
    <col min="10759" max="10759" width="15.7109375" style="1" bestFit="1" customWidth="1"/>
    <col min="10760" max="11009" width="9.140625" style="1"/>
    <col min="11010" max="11010" width="51.28515625" style="1" bestFit="1" customWidth="1"/>
    <col min="11011" max="11011" width="18.5703125" style="1" customWidth="1"/>
    <col min="11012" max="11012" width="22.5703125" style="1" bestFit="1" customWidth="1"/>
    <col min="11013" max="11013" width="14.5703125" style="1" bestFit="1" customWidth="1"/>
    <col min="11014" max="11014" width="17.28515625" style="1" bestFit="1" customWidth="1"/>
    <col min="11015" max="11015" width="15.7109375" style="1" bestFit="1" customWidth="1"/>
    <col min="11016" max="11265" width="9.140625" style="1"/>
    <col min="11266" max="11266" width="51.28515625" style="1" bestFit="1" customWidth="1"/>
    <col min="11267" max="11267" width="18.5703125" style="1" customWidth="1"/>
    <col min="11268" max="11268" width="22.5703125" style="1" bestFit="1" customWidth="1"/>
    <col min="11269" max="11269" width="14.5703125" style="1" bestFit="1" customWidth="1"/>
    <col min="11270" max="11270" width="17.28515625" style="1" bestFit="1" customWidth="1"/>
    <col min="11271" max="11271" width="15.7109375" style="1" bestFit="1" customWidth="1"/>
    <col min="11272" max="11521" width="9.140625" style="1"/>
    <col min="11522" max="11522" width="51.28515625" style="1" bestFit="1" customWidth="1"/>
    <col min="11523" max="11523" width="18.5703125" style="1" customWidth="1"/>
    <col min="11524" max="11524" width="22.5703125" style="1" bestFit="1" customWidth="1"/>
    <col min="11525" max="11525" width="14.5703125" style="1" bestFit="1" customWidth="1"/>
    <col min="11526" max="11526" width="17.28515625" style="1" bestFit="1" customWidth="1"/>
    <col min="11527" max="11527" width="15.7109375" style="1" bestFit="1" customWidth="1"/>
    <col min="11528" max="11777" width="9.140625" style="1"/>
    <col min="11778" max="11778" width="51.28515625" style="1" bestFit="1" customWidth="1"/>
    <col min="11779" max="11779" width="18.5703125" style="1" customWidth="1"/>
    <col min="11780" max="11780" width="22.5703125" style="1" bestFit="1" customWidth="1"/>
    <col min="11781" max="11781" width="14.5703125" style="1" bestFit="1" customWidth="1"/>
    <col min="11782" max="11782" width="17.28515625" style="1" bestFit="1" customWidth="1"/>
    <col min="11783" max="11783" width="15.7109375" style="1" bestFit="1" customWidth="1"/>
    <col min="11784" max="12033" width="9.140625" style="1"/>
    <col min="12034" max="12034" width="51.28515625" style="1" bestFit="1" customWidth="1"/>
    <col min="12035" max="12035" width="18.5703125" style="1" customWidth="1"/>
    <col min="12036" max="12036" width="22.5703125" style="1" bestFit="1" customWidth="1"/>
    <col min="12037" max="12037" width="14.5703125" style="1" bestFit="1" customWidth="1"/>
    <col min="12038" max="12038" width="17.28515625" style="1" bestFit="1" customWidth="1"/>
    <col min="12039" max="12039" width="15.7109375" style="1" bestFit="1" customWidth="1"/>
    <col min="12040" max="12289" width="9.140625" style="1"/>
    <col min="12290" max="12290" width="51.28515625" style="1" bestFit="1" customWidth="1"/>
    <col min="12291" max="12291" width="18.5703125" style="1" customWidth="1"/>
    <col min="12292" max="12292" width="22.5703125" style="1" bestFit="1" customWidth="1"/>
    <col min="12293" max="12293" width="14.5703125" style="1" bestFit="1" customWidth="1"/>
    <col min="12294" max="12294" width="17.28515625" style="1" bestFit="1" customWidth="1"/>
    <col min="12295" max="12295" width="15.7109375" style="1" bestFit="1" customWidth="1"/>
    <col min="12296" max="12545" width="9.140625" style="1"/>
    <col min="12546" max="12546" width="51.28515625" style="1" bestFit="1" customWidth="1"/>
    <col min="12547" max="12547" width="18.5703125" style="1" customWidth="1"/>
    <col min="12548" max="12548" width="22.5703125" style="1" bestFit="1" customWidth="1"/>
    <col min="12549" max="12549" width="14.5703125" style="1" bestFit="1" customWidth="1"/>
    <col min="12550" max="12550" width="17.28515625" style="1" bestFit="1" customWidth="1"/>
    <col min="12551" max="12551" width="15.7109375" style="1" bestFit="1" customWidth="1"/>
    <col min="12552" max="12801" width="9.140625" style="1"/>
    <col min="12802" max="12802" width="51.28515625" style="1" bestFit="1" customWidth="1"/>
    <col min="12803" max="12803" width="18.5703125" style="1" customWidth="1"/>
    <col min="12804" max="12804" width="22.5703125" style="1" bestFit="1" customWidth="1"/>
    <col min="12805" max="12805" width="14.5703125" style="1" bestFit="1" customWidth="1"/>
    <col min="12806" max="12806" width="17.28515625" style="1" bestFit="1" customWidth="1"/>
    <col min="12807" max="12807" width="15.7109375" style="1" bestFit="1" customWidth="1"/>
    <col min="12808" max="13057" width="9.140625" style="1"/>
    <col min="13058" max="13058" width="51.28515625" style="1" bestFit="1" customWidth="1"/>
    <col min="13059" max="13059" width="18.5703125" style="1" customWidth="1"/>
    <col min="13060" max="13060" width="22.5703125" style="1" bestFit="1" customWidth="1"/>
    <col min="13061" max="13061" width="14.5703125" style="1" bestFit="1" customWidth="1"/>
    <col min="13062" max="13062" width="17.28515625" style="1" bestFit="1" customWidth="1"/>
    <col min="13063" max="13063" width="15.7109375" style="1" bestFit="1" customWidth="1"/>
    <col min="13064" max="13313" width="9.140625" style="1"/>
    <col min="13314" max="13314" width="51.28515625" style="1" bestFit="1" customWidth="1"/>
    <col min="13315" max="13315" width="18.5703125" style="1" customWidth="1"/>
    <col min="13316" max="13316" width="22.5703125" style="1" bestFit="1" customWidth="1"/>
    <col min="13317" max="13317" width="14.5703125" style="1" bestFit="1" customWidth="1"/>
    <col min="13318" max="13318" width="17.28515625" style="1" bestFit="1" customWidth="1"/>
    <col min="13319" max="13319" width="15.7109375" style="1" bestFit="1" customWidth="1"/>
    <col min="13320" max="13569" width="9.140625" style="1"/>
    <col min="13570" max="13570" width="51.28515625" style="1" bestFit="1" customWidth="1"/>
    <col min="13571" max="13571" width="18.5703125" style="1" customWidth="1"/>
    <col min="13572" max="13572" width="22.5703125" style="1" bestFit="1" customWidth="1"/>
    <col min="13573" max="13573" width="14.5703125" style="1" bestFit="1" customWidth="1"/>
    <col min="13574" max="13574" width="17.28515625" style="1" bestFit="1" customWidth="1"/>
    <col min="13575" max="13575" width="15.7109375" style="1" bestFit="1" customWidth="1"/>
    <col min="13576" max="13825" width="9.140625" style="1"/>
    <col min="13826" max="13826" width="51.28515625" style="1" bestFit="1" customWidth="1"/>
    <col min="13827" max="13827" width="18.5703125" style="1" customWidth="1"/>
    <col min="13828" max="13828" width="22.5703125" style="1" bestFit="1" customWidth="1"/>
    <col min="13829" max="13829" width="14.5703125" style="1" bestFit="1" customWidth="1"/>
    <col min="13830" max="13830" width="17.28515625" style="1" bestFit="1" customWidth="1"/>
    <col min="13831" max="13831" width="15.7109375" style="1" bestFit="1" customWidth="1"/>
    <col min="13832" max="14081" width="9.140625" style="1"/>
    <col min="14082" max="14082" width="51.28515625" style="1" bestFit="1" customWidth="1"/>
    <col min="14083" max="14083" width="18.5703125" style="1" customWidth="1"/>
    <col min="14084" max="14084" width="22.5703125" style="1" bestFit="1" customWidth="1"/>
    <col min="14085" max="14085" width="14.5703125" style="1" bestFit="1" customWidth="1"/>
    <col min="14086" max="14086" width="17.28515625" style="1" bestFit="1" customWidth="1"/>
    <col min="14087" max="14087" width="15.7109375" style="1" bestFit="1" customWidth="1"/>
    <col min="14088" max="14337" width="9.140625" style="1"/>
    <col min="14338" max="14338" width="51.28515625" style="1" bestFit="1" customWidth="1"/>
    <col min="14339" max="14339" width="18.5703125" style="1" customWidth="1"/>
    <col min="14340" max="14340" width="22.5703125" style="1" bestFit="1" customWidth="1"/>
    <col min="14341" max="14341" width="14.5703125" style="1" bestFit="1" customWidth="1"/>
    <col min="14342" max="14342" width="17.28515625" style="1" bestFit="1" customWidth="1"/>
    <col min="14343" max="14343" width="15.7109375" style="1" bestFit="1" customWidth="1"/>
    <col min="14344" max="14593" width="9.140625" style="1"/>
    <col min="14594" max="14594" width="51.28515625" style="1" bestFit="1" customWidth="1"/>
    <col min="14595" max="14595" width="18.5703125" style="1" customWidth="1"/>
    <col min="14596" max="14596" width="22.5703125" style="1" bestFit="1" customWidth="1"/>
    <col min="14597" max="14597" width="14.5703125" style="1" bestFit="1" customWidth="1"/>
    <col min="14598" max="14598" width="17.28515625" style="1" bestFit="1" customWidth="1"/>
    <col min="14599" max="14599" width="15.7109375" style="1" bestFit="1" customWidth="1"/>
    <col min="14600" max="14849" width="9.140625" style="1"/>
    <col min="14850" max="14850" width="51.28515625" style="1" bestFit="1" customWidth="1"/>
    <col min="14851" max="14851" width="18.5703125" style="1" customWidth="1"/>
    <col min="14852" max="14852" width="22.5703125" style="1" bestFit="1" customWidth="1"/>
    <col min="14853" max="14853" width="14.5703125" style="1" bestFit="1" customWidth="1"/>
    <col min="14854" max="14854" width="17.28515625" style="1" bestFit="1" customWidth="1"/>
    <col min="14855" max="14855" width="15.7109375" style="1" bestFit="1" customWidth="1"/>
    <col min="14856" max="15105" width="9.140625" style="1"/>
    <col min="15106" max="15106" width="51.28515625" style="1" bestFit="1" customWidth="1"/>
    <col min="15107" max="15107" width="18.5703125" style="1" customWidth="1"/>
    <col min="15108" max="15108" width="22.5703125" style="1" bestFit="1" customWidth="1"/>
    <col min="15109" max="15109" width="14.5703125" style="1" bestFit="1" customWidth="1"/>
    <col min="15110" max="15110" width="17.28515625" style="1" bestFit="1" customWidth="1"/>
    <col min="15111" max="15111" width="15.7109375" style="1" bestFit="1" customWidth="1"/>
    <col min="15112" max="15361" width="9.140625" style="1"/>
    <col min="15362" max="15362" width="51.28515625" style="1" bestFit="1" customWidth="1"/>
    <col min="15363" max="15363" width="18.5703125" style="1" customWidth="1"/>
    <col min="15364" max="15364" width="22.5703125" style="1" bestFit="1" customWidth="1"/>
    <col min="15365" max="15365" width="14.5703125" style="1" bestFit="1" customWidth="1"/>
    <col min="15366" max="15366" width="17.28515625" style="1" bestFit="1" customWidth="1"/>
    <col min="15367" max="15367" width="15.7109375" style="1" bestFit="1" customWidth="1"/>
    <col min="15368" max="15617" width="9.140625" style="1"/>
    <col min="15618" max="15618" width="51.28515625" style="1" bestFit="1" customWidth="1"/>
    <col min="15619" max="15619" width="18.5703125" style="1" customWidth="1"/>
    <col min="15620" max="15620" width="22.5703125" style="1" bestFit="1" customWidth="1"/>
    <col min="15621" max="15621" width="14.5703125" style="1" bestFit="1" customWidth="1"/>
    <col min="15622" max="15622" width="17.28515625" style="1" bestFit="1" customWidth="1"/>
    <col min="15623" max="15623" width="15.7109375" style="1" bestFit="1" customWidth="1"/>
    <col min="15624" max="15873" width="9.140625" style="1"/>
    <col min="15874" max="15874" width="51.28515625" style="1" bestFit="1" customWidth="1"/>
    <col min="15875" max="15875" width="18.5703125" style="1" customWidth="1"/>
    <col min="15876" max="15876" width="22.5703125" style="1" bestFit="1" customWidth="1"/>
    <col min="15877" max="15877" width="14.5703125" style="1" bestFit="1" customWidth="1"/>
    <col min="15878" max="15878" width="17.28515625" style="1" bestFit="1" customWidth="1"/>
    <col min="15879" max="15879" width="15.7109375" style="1" bestFit="1" customWidth="1"/>
    <col min="15880" max="16129" width="9.140625" style="1"/>
    <col min="16130" max="16130" width="51.28515625" style="1" bestFit="1" customWidth="1"/>
    <col min="16131" max="16131" width="18.5703125" style="1" customWidth="1"/>
    <col min="16132" max="16132" width="22.5703125" style="1" bestFit="1" customWidth="1"/>
    <col min="16133" max="16133" width="14.5703125" style="1" bestFit="1" customWidth="1"/>
    <col min="16134" max="16134" width="17.28515625" style="1" bestFit="1" customWidth="1"/>
    <col min="16135" max="16135" width="15.7109375" style="1" bestFit="1" customWidth="1"/>
    <col min="16136" max="16384" width="9.140625" style="1"/>
  </cols>
  <sheetData>
    <row r="2" spans="2:7" ht="46.5" customHeight="1" x14ac:dyDescent="0.25">
      <c r="B2" s="195" t="s">
        <v>197</v>
      </c>
      <c r="C2" s="196"/>
      <c r="D2" s="196"/>
      <c r="E2" s="196"/>
      <c r="F2" s="196"/>
      <c r="G2" s="197"/>
    </row>
    <row r="3" spans="2:7" s="3" customFormat="1" x14ac:dyDescent="0.25">
      <c r="B3" s="2"/>
      <c r="C3" s="2"/>
      <c r="D3" s="2"/>
      <c r="E3" s="2"/>
      <c r="F3" s="2"/>
      <c r="G3" s="2"/>
    </row>
    <row r="4" spans="2:7" s="3" customFormat="1" ht="25.5" customHeight="1" x14ac:dyDescent="0.25">
      <c r="B4" s="198" t="s">
        <v>0</v>
      </c>
      <c r="C4" s="199"/>
      <c r="D4" s="199"/>
      <c r="E4" s="199"/>
      <c r="F4" s="199"/>
      <c r="G4" s="199"/>
    </row>
    <row r="5" spans="2:7" s="3" customFormat="1" x14ac:dyDescent="0.25">
      <c r="B5" s="4"/>
      <c r="C5" s="4"/>
      <c r="D5" s="4"/>
      <c r="E5" s="4"/>
      <c r="F5" s="4"/>
      <c r="G5" s="4"/>
    </row>
    <row r="6" spans="2:7" s="6" customFormat="1" ht="25.5" x14ac:dyDescent="0.2">
      <c r="B6" s="17" t="s">
        <v>1</v>
      </c>
      <c r="C6" s="17" t="s">
        <v>2</v>
      </c>
      <c r="D6" s="27" t="s">
        <v>3</v>
      </c>
      <c r="E6" s="17" t="s">
        <v>4</v>
      </c>
      <c r="F6" s="17" t="s">
        <v>5</v>
      </c>
      <c r="G6" s="17" t="s">
        <v>6</v>
      </c>
    </row>
    <row r="7" spans="2:7" x14ac:dyDescent="0.25">
      <c r="B7" s="7" t="str">
        <f>'Posto 1'!A6</f>
        <v>Supervisor de manutenção e suporte técnico</v>
      </c>
      <c r="C7" s="126">
        <f>'Posto 1'!D6</f>
        <v>7816.75</v>
      </c>
      <c r="D7" s="126">
        <f>'Posto 1'!D86</f>
        <v>14975.720000000001</v>
      </c>
      <c r="E7" s="8">
        <v>1</v>
      </c>
      <c r="F7" s="126">
        <f>D7*E7</f>
        <v>14975.720000000001</v>
      </c>
      <c r="G7" s="126">
        <f>F7*12</f>
        <v>179708.64</v>
      </c>
    </row>
    <row r="8" spans="2:7" x14ac:dyDescent="0.25">
      <c r="B8" s="7" t="str">
        <f>'Posto 2'!A6</f>
        <v>Técnico de manutenção em informática</v>
      </c>
      <c r="C8" s="126">
        <f>'Posto 2'!D6</f>
        <v>3908.38</v>
      </c>
      <c r="D8" s="126">
        <f>'Posto 2'!D86</f>
        <v>7896.5000000000009</v>
      </c>
      <c r="E8" s="8">
        <v>1</v>
      </c>
      <c r="F8" s="126">
        <f>D8*E8</f>
        <v>7896.5000000000009</v>
      </c>
      <c r="G8" s="126">
        <f>F8*12</f>
        <v>94758.000000000015</v>
      </c>
    </row>
    <row r="9" spans="2:7" x14ac:dyDescent="0.25">
      <c r="B9" s="9" t="str">
        <f>'Posto 3'!A6</f>
        <v>Técnico em suporte de informática</v>
      </c>
      <c r="C9" s="126">
        <f>'Posto 3'!D6</f>
        <v>2672.86</v>
      </c>
      <c r="D9" s="126">
        <f>'Posto 3'!D86</f>
        <v>5682.7900000000018</v>
      </c>
      <c r="E9" s="8">
        <v>3</v>
      </c>
      <c r="F9" s="126">
        <f>D9*E9</f>
        <v>17048.370000000006</v>
      </c>
      <c r="G9" s="126">
        <f>F9*12</f>
        <v>204580.44000000006</v>
      </c>
    </row>
    <row r="10" spans="2:7" s="12" customFormat="1" ht="25.5" customHeight="1" x14ac:dyDescent="0.25">
      <c r="B10" s="200" t="s">
        <v>7</v>
      </c>
      <c r="C10" s="200"/>
      <c r="D10" s="200"/>
      <c r="E10" s="200"/>
      <c r="F10" s="10">
        <f>SUM(F7:F9)</f>
        <v>39920.590000000011</v>
      </c>
      <c r="G10" s="11">
        <f>SUM(G7:G9)</f>
        <v>479047.08000000007</v>
      </c>
    </row>
    <row r="11" spans="2:7" s="12" customFormat="1" ht="12.75" customHeight="1" x14ac:dyDescent="0.25">
      <c r="B11" s="13"/>
      <c r="C11" s="13"/>
      <c r="D11" s="13"/>
      <c r="E11" s="13"/>
      <c r="F11" s="14"/>
      <c r="G11" s="15"/>
    </row>
    <row r="12" spans="2:7" s="19" customFormat="1" ht="12.75" customHeight="1" x14ac:dyDescent="0.25">
      <c r="B12" s="24"/>
      <c r="C12" s="24"/>
      <c r="D12" s="24"/>
      <c r="E12" s="25"/>
      <c r="F12" s="23"/>
      <c r="G12" s="18"/>
    </row>
    <row r="13" spans="2:7" s="19" customFormat="1" ht="12.75" customHeight="1" x14ac:dyDescent="0.25">
      <c r="B13" s="193" t="s">
        <v>132</v>
      </c>
      <c r="C13" s="194"/>
      <c r="D13" s="194"/>
      <c r="E13" s="194"/>
      <c r="F13" s="194"/>
      <c r="G13" s="194"/>
    </row>
    <row r="14" spans="2:7" x14ac:dyDescent="0.25">
      <c r="D14" s="26"/>
    </row>
    <row r="15" spans="2:7" ht="25.5" customHeight="1" x14ac:dyDescent="0.25">
      <c r="B15" s="17" t="s">
        <v>8</v>
      </c>
      <c r="C15" s="27" t="s">
        <v>9</v>
      </c>
      <c r="D15" s="26"/>
    </row>
    <row r="16" spans="2:7" ht="12.75" customHeight="1" x14ac:dyDescent="0.25">
      <c r="B16" s="20" t="s">
        <v>10</v>
      </c>
      <c r="C16" s="22"/>
      <c r="D16" s="26">
        <f>MEDIAN(0,538.78,27.84)</f>
        <v>27.84</v>
      </c>
    </row>
    <row r="17" spans="2:8" ht="25.5" customHeight="1" x14ac:dyDescent="0.25">
      <c r="B17" s="201" t="s">
        <v>184</v>
      </c>
      <c r="C17" s="191"/>
      <c r="D17" s="191"/>
      <c r="E17" s="191"/>
      <c r="F17" s="191"/>
      <c r="G17" s="191"/>
    </row>
    <row r="18" spans="2:8" ht="12.75" customHeight="1" x14ac:dyDescent="0.25">
      <c r="B18" s="28"/>
      <c r="C18" s="29"/>
      <c r="D18" s="29"/>
      <c r="E18" s="29"/>
      <c r="F18" s="29"/>
      <c r="G18" s="29"/>
    </row>
    <row r="19" spans="2:8" s="30" customFormat="1" ht="25.5" customHeight="1" x14ac:dyDescent="0.25">
      <c r="B19" s="111" t="s">
        <v>104</v>
      </c>
      <c r="C19" s="27" t="s">
        <v>122</v>
      </c>
      <c r="D19" s="112"/>
      <c r="E19" s="1"/>
      <c r="F19" s="1"/>
      <c r="G19" s="1"/>
      <c r="H19" s="1"/>
    </row>
    <row r="20" spans="2:8" ht="12.75" customHeight="1" x14ac:dyDescent="0.25">
      <c r="B20" s="20" t="s">
        <v>149</v>
      </c>
      <c r="C20" s="113"/>
      <c r="D20" s="112"/>
    </row>
    <row r="21" spans="2:8" x14ac:dyDescent="0.25">
      <c r="B21" s="20" t="s">
        <v>150</v>
      </c>
      <c r="C21" s="113"/>
      <c r="D21" s="112"/>
    </row>
    <row r="22" spans="2:8" ht="12.75" customHeight="1" x14ac:dyDescent="0.25">
      <c r="B22" s="114"/>
      <c r="C22" s="115"/>
      <c r="D22" s="112"/>
    </row>
    <row r="23" spans="2:8" ht="12.75" customHeight="1" x14ac:dyDescent="0.25">
      <c r="B23" s="114"/>
      <c r="C23" s="115"/>
      <c r="D23" s="112"/>
    </row>
    <row r="24" spans="2:8" x14ac:dyDescent="0.25">
      <c r="B24" s="111" t="s">
        <v>123</v>
      </c>
      <c r="C24" s="27" t="s">
        <v>135</v>
      </c>
    </row>
    <row r="25" spans="2:8" ht="38.25" x14ac:dyDescent="0.25">
      <c r="B25" s="116" t="s">
        <v>186</v>
      </c>
      <c r="C25" s="113"/>
    </row>
    <row r="26" spans="2:8" x14ac:dyDescent="0.25">
      <c r="B26" s="16"/>
      <c r="C26" s="112"/>
      <c r="D26" s="112"/>
    </row>
    <row r="27" spans="2:8" s="6" customFormat="1" x14ac:dyDescent="0.25">
      <c r="B27" s="117" t="s">
        <v>11</v>
      </c>
      <c r="C27" s="27" t="s">
        <v>125</v>
      </c>
      <c r="D27" s="118"/>
      <c r="E27" s="1"/>
      <c r="F27" s="1"/>
      <c r="G27" s="1"/>
      <c r="H27" s="1"/>
    </row>
    <row r="28" spans="2:8" ht="12.75" customHeight="1" x14ac:dyDescent="0.25">
      <c r="B28" s="9" t="s">
        <v>13</v>
      </c>
      <c r="C28" s="119"/>
      <c r="D28" s="118"/>
      <c r="E28" s="112"/>
      <c r="F28" s="112"/>
      <c r="G28" s="120"/>
    </row>
    <row r="29" spans="2:8" x14ac:dyDescent="0.25">
      <c r="B29" s="31"/>
      <c r="C29" s="112"/>
    </row>
    <row r="30" spans="2:8" x14ac:dyDescent="0.25">
      <c r="B30" s="111" t="s">
        <v>14</v>
      </c>
      <c r="C30" s="17" t="s">
        <v>125</v>
      </c>
      <c r="D30" s="17" t="s">
        <v>129</v>
      </c>
    </row>
    <row r="31" spans="2:8" x14ac:dyDescent="0.25">
      <c r="B31" s="32" t="s">
        <v>130</v>
      </c>
      <c r="C31" s="123"/>
      <c r="D31" s="127">
        <f>TRUNC(C31*(SUM('Posto 1'!D9,'Posto 1'!D23,'Posto 1'!D26,'Posto 1'!D27,'Posto 1'!D62,'Posto 1'!D63,'Posto 1'!D69-'Posto 1'!D64*3/4-'Posto 1'!D65*3/4,'Posto 2'!D9,'Posto 2'!D23,'Posto 2'!D26,'Posto 2'!D27,'Posto 2'!D69-'Posto 2'!D64*3/4-'Posto 2'!D65*3/4,'Posto 3'!D9,'Posto 3'!D23,'Posto 3'!D26,'Posto 3'!D27,'Posto 3'!D69-'Posto 3'!D64*3/4-'Posto 3'!D65*3/4)),2)</f>
        <v>0</v>
      </c>
    </row>
    <row r="32" spans="2:8" x14ac:dyDescent="0.25">
      <c r="B32" s="32" t="s">
        <v>183</v>
      </c>
      <c r="C32" s="123"/>
      <c r="D32" s="128">
        <f>SUM('Posto 1'!D75*E7,'Posto 2'!D75*E8,'Posto 3'!D75*E9)</f>
        <v>0</v>
      </c>
    </row>
    <row r="33" spans="2:8" x14ac:dyDescent="0.25">
      <c r="B33" s="32" t="s">
        <v>152</v>
      </c>
      <c r="C33" s="129">
        <f>C31</f>
        <v>0</v>
      </c>
      <c r="D33" s="127">
        <f>SUM('Posto 1'!D74*E7,'Posto 2'!D74*E8,'Posto 3'!D74*E9)</f>
        <v>0</v>
      </c>
    </row>
    <row r="34" spans="2:8" ht="44.25" customHeight="1" x14ac:dyDescent="0.25">
      <c r="B34" s="191" t="s">
        <v>134</v>
      </c>
      <c r="C34" s="192"/>
      <c r="D34" s="192"/>
      <c r="E34" s="192"/>
      <c r="F34" s="192"/>
      <c r="G34" s="192"/>
      <c r="H34" s="148"/>
    </row>
    <row r="35" spans="2:8" ht="20.25" customHeight="1" x14ac:dyDescent="0.25">
      <c r="B35" s="191" t="s">
        <v>185</v>
      </c>
      <c r="C35" s="192"/>
      <c r="D35" s="192"/>
      <c r="E35" s="192"/>
      <c r="F35" s="192"/>
      <c r="G35" s="192"/>
      <c r="H35" s="148"/>
    </row>
    <row r="36" spans="2:8" ht="25.5" customHeight="1" x14ac:dyDescent="0.25">
      <c r="B36" s="191" t="s">
        <v>153</v>
      </c>
      <c r="C36" s="192"/>
      <c r="D36" s="192"/>
      <c r="E36" s="192"/>
      <c r="F36" s="192"/>
      <c r="G36" s="192"/>
      <c r="H36" s="148"/>
    </row>
    <row r="37" spans="2:8" ht="18.75" customHeight="1" x14ac:dyDescent="0.25">
      <c r="B37" s="31"/>
      <c r="C37" s="112"/>
    </row>
    <row r="38" spans="2:8" ht="12.75" customHeight="1" x14ac:dyDescent="0.25">
      <c r="B38" s="5" t="s">
        <v>16</v>
      </c>
      <c r="C38" s="17" t="s">
        <v>12</v>
      </c>
      <c r="D38" s="121"/>
      <c r="E38" s="122"/>
      <c r="F38" s="122"/>
      <c r="G38" s="122"/>
      <c r="H38" s="122"/>
    </row>
    <row r="39" spans="2:8" x14ac:dyDescent="0.25">
      <c r="B39" s="33" t="s">
        <v>17</v>
      </c>
      <c r="C39" s="123"/>
      <c r="D39" s="112"/>
      <c r="E39" s="122"/>
      <c r="F39" s="122"/>
      <c r="G39" s="122"/>
      <c r="H39" s="122"/>
    </row>
    <row r="40" spans="2:8" ht="12" customHeight="1" x14ac:dyDescent="0.25">
      <c r="B40" s="33" t="s">
        <v>18</v>
      </c>
      <c r="C40" s="123"/>
      <c r="D40" s="112"/>
      <c r="E40" s="122"/>
      <c r="F40" s="122"/>
      <c r="G40" s="122"/>
      <c r="H40" s="122"/>
    </row>
    <row r="41" spans="2:8" x14ac:dyDescent="0.25">
      <c r="B41" s="33" t="s">
        <v>19</v>
      </c>
      <c r="C41" s="123"/>
      <c r="D41" s="112"/>
      <c r="E41" s="112"/>
      <c r="F41" s="112"/>
      <c r="G41" s="112"/>
    </row>
    <row r="42" spans="2:8" s="31" customFormat="1" ht="12.75" customHeight="1" x14ac:dyDescent="0.25">
      <c r="B42" s="1"/>
      <c r="C42" s="112"/>
      <c r="D42" s="112"/>
      <c r="E42" s="112"/>
      <c r="F42" s="112"/>
      <c r="G42" s="112"/>
      <c r="H42" s="1"/>
    </row>
    <row r="43" spans="2:8" x14ac:dyDescent="0.25">
      <c r="B43" s="191" t="s">
        <v>126</v>
      </c>
      <c r="C43" s="192"/>
      <c r="D43" s="192"/>
      <c r="E43" s="192"/>
      <c r="F43" s="192"/>
      <c r="G43" s="192"/>
      <c r="H43" s="147"/>
    </row>
  </sheetData>
  <sheetProtection algorithmName="SHA-512" hashValue="iN+8LozG6ioHmHC/eAHweAFhHth5ODNraKgwv9KHPy83Wkg/BsDhKMIaWnOyNO00ZE9+HzZhbvkcODKOIqMmOg==" saltValue="AcokdPZ96s3PDdTMKEe7rQ==" spinCount="100000" sheet="1" objects="1" scenarios="1"/>
  <mergeCells count="9">
    <mergeCell ref="B34:G34"/>
    <mergeCell ref="B36:G36"/>
    <mergeCell ref="B43:G43"/>
    <mergeCell ref="B13:G13"/>
    <mergeCell ref="B2:G2"/>
    <mergeCell ref="B4:G4"/>
    <mergeCell ref="B10:E10"/>
    <mergeCell ref="B17:G17"/>
    <mergeCell ref="B35:G3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workbookViewId="0">
      <selection sqref="A1:E1"/>
    </sheetView>
  </sheetViews>
  <sheetFormatPr defaultRowHeight="12.75" x14ac:dyDescent="0.2"/>
  <cols>
    <col min="1" max="1" width="75.5703125" style="31" customWidth="1"/>
    <col min="2" max="2" width="16.85546875" style="31" bestFit="1" customWidth="1"/>
    <col min="3" max="3" width="41.85546875" style="31" customWidth="1"/>
    <col min="4" max="4" width="13.140625" style="31" bestFit="1" customWidth="1"/>
    <col min="5" max="5" width="41.42578125" style="31" bestFit="1" customWidth="1"/>
    <col min="6" max="256" width="9.140625" style="31"/>
    <col min="257" max="257" width="75.5703125" style="31" customWidth="1"/>
    <col min="258" max="258" width="16.85546875" style="31" bestFit="1" customWidth="1"/>
    <col min="259" max="259" width="40" style="31" customWidth="1"/>
    <col min="260" max="260" width="13.140625" style="31" bestFit="1" customWidth="1"/>
    <col min="261" max="261" width="44.5703125" style="31" bestFit="1" customWidth="1"/>
    <col min="262" max="512" width="9.140625" style="31"/>
    <col min="513" max="513" width="75.5703125" style="31" customWidth="1"/>
    <col min="514" max="514" width="16.85546875" style="31" bestFit="1" customWidth="1"/>
    <col min="515" max="515" width="40" style="31" customWidth="1"/>
    <col min="516" max="516" width="13.140625" style="31" bestFit="1" customWidth="1"/>
    <col min="517" max="517" width="44.5703125" style="31" bestFit="1" customWidth="1"/>
    <col min="518" max="768" width="9.140625" style="31"/>
    <col min="769" max="769" width="75.5703125" style="31" customWidth="1"/>
    <col min="770" max="770" width="16.85546875" style="31" bestFit="1" customWidth="1"/>
    <col min="771" max="771" width="40" style="31" customWidth="1"/>
    <col min="772" max="772" width="13.140625" style="31" bestFit="1" customWidth="1"/>
    <col min="773" max="773" width="44.5703125" style="31" bestFit="1" customWidth="1"/>
    <col min="774" max="1024" width="9.140625" style="31"/>
    <col min="1025" max="1025" width="75.5703125" style="31" customWidth="1"/>
    <col min="1026" max="1026" width="16.85546875" style="31" bestFit="1" customWidth="1"/>
    <col min="1027" max="1027" width="40" style="31" customWidth="1"/>
    <col min="1028" max="1028" width="13.140625" style="31" bestFit="1" customWidth="1"/>
    <col min="1029" max="1029" width="44.5703125" style="31" bestFit="1" customWidth="1"/>
    <col min="1030" max="1280" width="9.140625" style="31"/>
    <col min="1281" max="1281" width="75.5703125" style="31" customWidth="1"/>
    <col min="1282" max="1282" width="16.85546875" style="31" bestFit="1" customWidth="1"/>
    <col min="1283" max="1283" width="40" style="31" customWidth="1"/>
    <col min="1284" max="1284" width="13.140625" style="31" bestFit="1" customWidth="1"/>
    <col min="1285" max="1285" width="44.5703125" style="31" bestFit="1" customWidth="1"/>
    <col min="1286" max="1536" width="9.140625" style="31"/>
    <col min="1537" max="1537" width="75.5703125" style="31" customWidth="1"/>
    <col min="1538" max="1538" width="16.85546875" style="31" bestFit="1" customWidth="1"/>
    <col min="1539" max="1539" width="40" style="31" customWidth="1"/>
    <col min="1540" max="1540" width="13.140625" style="31" bestFit="1" customWidth="1"/>
    <col min="1541" max="1541" width="44.5703125" style="31" bestFit="1" customWidth="1"/>
    <col min="1542" max="1792" width="9.140625" style="31"/>
    <col min="1793" max="1793" width="75.5703125" style="31" customWidth="1"/>
    <col min="1794" max="1794" width="16.85546875" style="31" bestFit="1" customWidth="1"/>
    <col min="1795" max="1795" width="40" style="31" customWidth="1"/>
    <col min="1796" max="1796" width="13.140625" style="31" bestFit="1" customWidth="1"/>
    <col min="1797" max="1797" width="44.5703125" style="31" bestFit="1" customWidth="1"/>
    <col min="1798" max="2048" width="9.140625" style="31"/>
    <col min="2049" max="2049" width="75.5703125" style="31" customWidth="1"/>
    <col min="2050" max="2050" width="16.85546875" style="31" bestFit="1" customWidth="1"/>
    <col min="2051" max="2051" width="40" style="31" customWidth="1"/>
    <col min="2052" max="2052" width="13.140625" style="31" bestFit="1" customWidth="1"/>
    <col min="2053" max="2053" width="44.5703125" style="31" bestFit="1" customWidth="1"/>
    <col min="2054" max="2304" width="9.140625" style="31"/>
    <col min="2305" max="2305" width="75.5703125" style="31" customWidth="1"/>
    <col min="2306" max="2306" width="16.85546875" style="31" bestFit="1" customWidth="1"/>
    <col min="2307" max="2307" width="40" style="31" customWidth="1"/>
    <col min="2308" max="2308" width="13.140625" style="31" bestFit="1" customWidth="1"/>
    <col min="2309" max="2309" width="44.5703125" style="31" bestFit="1" customWidth="1"/>
    <col min="2310" max="2560" width="9.140625" style="31"/>
    <col min="2561" max="2561" width="75.5703125" style="31" customWidth="1"/>
    <col min="2562" max="2562" width="16.85546875" style="31" bestFit="1" customWidth="1"/>
    <col min="2563" max="2563" width="40" style="31" customWidth="1"/>
    <col min="2564" max="2564" width="13.140625" style="31" bestFit="1" customWidth="1"/>
    <col min="2565" max="2565" width="44.5703125" style="31" bestFit="1" customWidth="1"/>
    <col min="2566" max="2816" width="9.140625" style="31"/>
    <col min="2817" max="2817" width="75.5703125" style="31" customWidth="1"/>
    <col min="2818" max="2818" width="16.85546875" style="31" bestFit="1" customWidth="1"/>
    <col min="2819" max="2819" width="40" style="31" customWidth="1"/>
    <col min="2820" max="2820" width="13.140625" style="31" bestFit="1" customWidth="1"/>
    <col min="2821" max="2821" width="44.5703125" style="31" bestFit="1" customWidth="1"/>
    <col min="2822" max="3072" width="9.140625" style="31"/>
    <col min="3073" max="3073" width="75.5703125" style="31" customWidth="1"/>
    <col min="3074" max="3074" width="16.85546875" style="31" bestFit="1" customWidth="1"/>
    <col min="3075" max="3075" width="40" style="31" customWidth="1"/>
    <col min="3076" max="3076" width="13.140625" style="31" bestFit="1" customWidth="1"/>
    <col min="3077" max="3077" width="44.5703125" style="31" bestFit="1" customWidth="1"/>
    <col min="3078" max="3328" width="9.140625" style="31"/>
    <col min="3329" max="3329" width="75.5703125" style="31" customWidth="1"/>
    <col min="3330" max="3330" width="16.85546875" style="31" bestFit="1" customWidth="1"/>
    <col min="3331" max="3331" width="40" style="31" customWidth="1"/>
    <col min="3332" max="3332" width="13.140625" style="31" bestFit="1" customWidth="1"/>
    <col min="3333" max="3333" width="44.5703125" style="31" bestFit="1" customWidth="1"/>
    <col min="3334" max="3584" width="9.140625" style="31"/>
    <col min="3585" max="3585" width="75.5703125" style="31" customWidth="1"/>
    <col min="3586" max="3586" width="16.85546875" style="31" bestFit="1" customWidth="1"/>
    <col min="3587" max="3587" width="40" style="31" customWidth="1"/>
    <col min="3588" max="3588" width="13.140625" style="31" bestFit="1" customWidth="1"/>
    <col min="3589" max="3589" width="44.5703125" style="31" bestFit="1" customWidth="1"/>
    <col min="3590" max="3840" width="9.140625" style="31"/>
    <col min="3841" max="3841" width="75.5703125" style="31" customWidth="1"/>
    <col min="3842" max="3842" width="16.85546875" style="31" bestFit="1" customWidth="1"/>
    <col min="3843" max="3843" width="40" style="31" customWidth="1"/>
    <col min="3844" max="3844" width="13.140625" style="31" bestFit="1" customWidth="1"/>
    <col min="3845" max="3845" width="44.5703125" style="31" bestFit="1" customWidth="1"/>
    <col min="3846" max="4096" width="9.140625" style="31"/>
    <col min="4097" max="4097" width="75.5703125" style="31" customWidth="1"/>
    <col min="4098" max="4098" width="16.85546875" style="31" bestFit="1" customWidth="1"/>
    <col min="4099" max="4099" width="40" style="31" customWidth="1"/>
    <col min="4100" max="4100" width="13.140625" style="31" bestFit="1" customWidth="1"/>
    <col min="4101" max="4101" width="44.5703125" style="31" bestFit="1" customWidth="1"/>
    <col min="4102" max="4352" width="9.140625" style="31"/>
    <col min="4353" max="4353" width="75.5703125" style="31" customWidth="1"/>
    <col min="4354" max="4354" width="16.85546875" style="31" bestFit="1" customWidth="1"/>
    <col min="4355" max="4355" width="40" style="31" customWidth="1"/>
    <col min="4356" max="4356" width="13.140625" style="31" bestFit="1" customWidth="1"/>
    <col min="4357" max="4357" width="44.5703125" style="31" bestFit="1" customWidth="1"/>
    <col min="4358" max="4608" width="9.140625" style="31"/>
    <col min="4609" max="4609" width="75.5703125" style="31" customWidth="1"/>
    <col min="4610" max="4610" width="16.85546875" style="31" bestFit="1" customWidth="1"/>
    <col min="4611" max="4611" width="40" style="31" customWidth="1"/>
    <col min="4612" max="4612" width="13.140625" style="31" bestFit="1" customWidth="1"/>
    <col min="4613" max="4613" width="44.5703125" style="31" bestFit="1" customWidth="1"/>
    <col min="4614" max="4864" width="9.140625" style="31"/>
    <col min="4865" max="4865" width="75.5703125" style="31" customWidth="1"/>
    <col min="4866" max="4866" width="16.85546875" style="31" bestFit="1" customWidth="1"/>
    <col min="4867" max="4867" width="40" style="31" customWidth="1"/>
    <col min="4868" max="4868" width="13.140625" style="31" bestFit="1" customWidth="1"/>
    <col min="4869" max="4869" width="44.5703125" style="31" bestFit="1" customWidth="1"/>
    <col min="4870" max="5120" width="9.140625" style="31"/>
    <col min="5121" max="5121" width="75.5703125" style="31" customWidth="1"/>
    <col min="5122" max="5122" width="16.85546875" style="31" bestFit="1" customWidth="1"/>
    <col min="5123" max="5123" width="40" style="31" customWidth="1"/>
    <col min="5124" max="5124" width="13.140625" style="31" bestFit="1" customWidth="1"/>
    <col min="5125" max="5125" width="44.5703125" style="31" bestFit="1" customWidth="1"/>
    <col min="5126" max="5376" width="9.140625" style="31"/>
    <col min="5377" max="5377" width="75.5703125" style="31" customWidth="1"/>
    <col min="5378" max="5378" width="16.85546875" style="31" bestFit="1" customWidth="1"/>
    <col min="5379" max="5379" width="40" style="31" customWidth="1"/>
    <col min="5380" max="5380" width="13.140625" style="31" bestFit="1" customWidth="1"/>
    <col min="5381" max="5381" width="44.5703125" style="31" bestFit="1" customWidth="1"/>
    <col min="5382" max="5632" width="9.140625" style="31"/>
    <col min="5633" max="5633" width="75.5703125" style="31" customWidth="1"/>
    <col min="5634" max="5634" width="16.85546875" style="31" bestFit="1" customWidth="1"/>
    <col min="5635" max="5635" width="40" style="31" customWidth="1"/>
    <col min="5636" max="5636" width="13.140625" style="31" bestFit="1" customWidth="1"/>
    <col min="5637" max="5637" width="44.5703125" style="31" bestFit="1" customWidth="1"/>
    <col min="5638" max="5888" width="9.140625" style="31"/>
    <col min="5889" max="5889" width="75.5703125" style="31" customWidth="1"/>
    <col min="5890" max="5890" width="16.85546875" style="31" bestFit="1" customWidth="1"/>
    <col min="5891" max="5891" width="40" style="31" customWidth="1"/>
    <col min="5892" max="5892" width="13.140625" style="31" bestFit="1" customWidth="1"/>
    <col min="5893" max="5893" width="44.5703125" style="31" bestFit="1" customWidth="1"/>
    <col min="5894" max="6144" width="9.140625" style="31"/>
    <col min="6145" max="6145" width="75.5703125" style="31" customWidth="1"/>
    <col min="6146" max="6146" width="16.85546875" style="31" bestFit="1" customWidth="1"/>
    <col min="6147" max="6147" width="40" style="31" customWidth="1"/>
    <col min="6148" max="6148" width="13.140625" style="31" bestFit="1" customWidth="1"/>
    <col min="6149" max="6149" width="44.5703125" style="31" bestFit="1" customWidth="1"/>
    <col min="6150" max="6400" width="9.140625" style="31"/>
    <col min="6401" max="6401" width="75.5703125" style="31" customWidth="1"/>
    <col min="6402" max="6402" width="16.85546875" style="31" bestFit="1" customWidth="1"/>
    <col min="6403" max="6403" width="40" style="31" customWidth="1"/>
    <col min="6404" max="6404" width="13.140625" style="31" bestFit="1" customWidth="1"/>
    <col min="6405" max="6405" width="44.5703125" style="31" bestFit="1" customWidth="1"/>
    <col min="6406" max="6656" width="9.140625" style="31"/>
    <col min="6657" max="6657" width="75.5703125" style="31" customWidth="1"/>
    <col min="6658" max="6658" width="16.85546875" style="31" bestFit="1" customWidth="1"/>
    <col min="6659" max="6659" width="40" style="31" customWidth="1"/>
    <col min="6660" max="6660" width="13.140625" style="31" bestFit="1" customWidth="1"/>
    <col min="6661" max="6661" width="44.5703125" style="31" bestFit="1" customWidth="1"/>
    <col min="6662" max="6912" width="9.140625" style="31"/>
    <col min="6913" max="6913" width="75.5703125" style="31" customWidth="1"/>
    <col min="6914" max="6914" width="16.85546875" style="31" bestFit="1" customWidth="1"/>
    <col min="6915" max="6915" width="40" style="31" customWidth="1"/>
    <col min="6916" max="6916" width="13.140625" style="31" bestFit="1" customWidth="1"/>
    <col min="6917" max="6917" width="44.5703125" style="31" bestFit="1" customWidth="1"/>
    <col min="6918" max="7168" width="9.140625" style="31"/>
    <col min="7169" max="7169" width="75.5703125" style="31" customWidth="1"/>
    <col min="7170" max="7170" width="16.85546875" style="31" bestFit="1" customWidth="1"/>
    <col min="7171" max="7171" width="40" style="31" customWidth="1"/>
    <col min="7172" max="7172" width="13.140625" style="31" bestFit="1" customWidth="1"/>
    <col min="7173" max="7173" width="44.5703125" style="31" bestFit="1" customWidth="1"/>
    <col min="7174" max="7424" width="9.140625" style="31"/>
    <col min="7425" max="7425" width="75.5703125" style="31" customWidth="1"/>
    <col min="7426" max="7426" width="16.85546875" style="31" bestFit="1" customWidth="1"/>
    <col min="7427" max="7427" width="40" style="31" customWidth="1"/>
    <col min="7428" max="7428" width="13.140625" style="31" bestFit="1" customWidth="1"/>
    <col min="7429" max="7429" width="44.5703125" style="31" bestFit="1" customWidth="1"/>
    <col min="7430" max="7680" width="9.140625" style="31"/>
    <col min="7681" max="7681" width="75.5703125" style="31" customWidth="1"/>
    <col min="7682" max="7682" width="16.85546875" style="31" bestFit="1" customWidth="1"/>
    <col min="7683" max="7683" width="40" style="31" customWidth="1"/>
    <col min="7684" max="7684" width="13.140625" style="31" bestFit="1" customWidth="1"/>
    <col min="7685" max="7685" width="44.5703125" style="31" bestFit="1" customWidth="1"/>
    <col min="7686" max="7936" width="9.140625" style="31"/>
    <col min="7937" max="7937" width="75.5703125" style="31" customWidth="1"/>
    <col min="7938" max="7938" width="16.85546875" style="31" bestFit="1" customWidth="1"/>
    <col min="7939" max="7939" width="40" style="31" customWidth="1"/>
    <col min="7940" max="7940" width="13.140625" style="31" bestFit="1" customWidth="1"/>
    <col min="7941" max="7941" width="44.5703125" style="31" bestFit="1" customWidth="1"/>
    <col min="7942" max="8192" width="9.140625" style="31"/>
    <col min="8193" max="8193" width="75.5703125" style="31" customWidth="1"/>
    <col min="8194" max="8194" width="16.85546875" style="31" bestFit="1" customWidth="1"/>
    <col min="8195" max="8195" width="40" style="31" customWidth="1"/>
    <col min="8196" max="8196" width="13.140625" style="31" bestFit="1" customWidth="1"/>
    <col min="8197" max="8197" width="44.5703125" style="31" bestFit="1" customWidth="1"/>
    <col min="8198" max="8448" width="9.140625" style="31"/>
    <col min="8449" max="8449" width="75.5703125" style="31" customWidth="1"/>
    <col min="8450" max="8450" width="16.85546875" style="31" bestFit="1" customWidth="1"/>
    <col min="8451" max="8451" width="40" style="31" customWidth="1"/>
    <col min="8452" max="8452" width="13.140625" style="31" bestFit="1" customWidth="1"/>
    <col min="8453" max="8453" width="44.5703125" style="31" bestFit="1" customWidth="1"/>
    <col min="8454" max="8704" width="9.140625" style="31"/>
    <col min="8705" max="8705" width="75.5703125" style="31" customWidth="1"/>
    <col min="8706" max="8706" width="16.85546875" style="31" bestFit="1" customWidth="1"/>
    <col min="8707" max="8707" width="40" style="31" customWidth="1"/>
    <col min="8708" max="8708" width="13.140625" style="31" bestFit="1" customWidth="1"/>
    <col min="8709" max="8709" width="44.5703125" style="31" bestFit="1" customWidth="1"/>
    <col min="8710" max="8960" width="9.140625" style="31"/>
    <col min="8961" max="8961" width="75.5703125" style="31" customWidth="1"/>
    <col min="8962" max="8962" width="16.85546875" style="31" bestFit="1" customWidth="1"/>
    <col min="8963" max="8963" width="40" style="31" customWidth="1"/>
    <col min="8964" max="8964" width="13.140625" style="31" bestFit="1" customWidth="1"/>
    <col min="8965" max="8965" width="44.5703125" style="31" bestFit="1" customWidth="1"/>
    <col min="8966" max="9216" width="9.140625" style="31"/>
    <col min="9217" max="9217" width="75.5703125" style="31" customWidth="1"/>
    <col min="9218" max="9218" width="16.85546875" style="31" bestFit="1" customWidth="1"/>
    <col min="9219" max="9219" width="40" style="31" customWidth="1"/>
    <col min="9220" max="9220" width="13.140625" style="31" bestFit="1" customWidth="1"/>
    <col min="9221" max="9221" width="44.5703125" style="31" bestFit="1" customWidth="1"/>
    <col min="9222" max="9472" width="9.140625" style="31"/>
    <col min="9473" max="9473" width="75.5703125" style="31" customWidth="1"/>
    <col min="9474" max="9474" width="16.85546875" style="31" bestFit="1" customWidth="1"/>
    <col min="9475" max="9475" width="40" style="31" customWidth="1"/>
    <col min="9476" max="9476" width="13.140625" style="31" bestFit="1" customWidth="1"/>
    <col min="9477" max="9477" width="44.5703125" style="31" bestFit="1" customWidth="1"/>
    <col min="9478" max="9728" width="9.140625" style="31"/>
    <col min="9729" max="9729" width="75.5703125" style="31" customWidth="1"/>
    <col min="9730" max="9730" width="16.85546875" style="31" bestFit="1" customWidth="1"/>
    <col min="9731" max="9731" width="40" style="31" customWidth="1"/>
    <col min="9732" max="9732" width="13.140625" style="31" bestFit="1" customWidth="1"/>
    <col min="9733" max="9733" width="44.5703125" style="31" bestFit="1" customWidth="1"/>
    <col min="9734" max="9984" width="9.140625" style="31"/>
    <col min="9985" max="9985" width="75.5703125" style="31" customWidth="1"/>
    <col min="9986" max="9986" width="16.85546875" style="31" bestFit="1" customWidth="1"/>
    <col min="9987" max="9987" width="40" style="31" customWidth="1"/>
    <col min="9988" max="9988" width="13.140625" style="31" bestFit="1" customWidth="1"/>
    <col min="9989" max="9989" width="44.5703125" style="31" bestFit="1" customWidth="1"/>
    <col min="9990" max="10240" width="9.140625" style="31"/>
    <col min="10241" max="10241" width="75.5703125" style="31" customWidth="1"/>
    <col min="10242" max="10242" width="16.85546875" style="31" bestFit="1" customWidth="1"/>
    <col min="10243" max="10243" width="40" style="31" customWidth="1"/>
    <col min="10244" max="10244" width="13.140625" style="31" bestFit="1" customWidth="1"/>
    <col min="10245" max="10245" width="44.5703125" style="31" bestFit="1" customWidth="1"/>
    <col min="10246" max="10496" width="9.140625" style="31"/>
    <col min="10497" max="10497" width="75.5703125" style="31" customWidth="1"/>
    <col min="10498" max="10498" width="16.85546875" style="31" bestFit="1" customWidth="1"/>
    <col min="10499" max="10499" width="40" style="31" customWidth="1"/>
    <col min="10500" max="10500" width="13.140625" style="31" bestFit="1" customWidth="1"/>
    <col min="10501" max="10501" width="44.5703125" style="31" bestFit="1" customWidth="1"/>
    <col min="10502" max="10752" width="9.140625" style="31"/>
    <col min="10753" max="10753" width="75.5703125" style="31" customWidth="1"/>
    <col min="10754" max="10754" width="16.85546875" style="31" bestFit="1" customWidth="1"/>
    <col min="10755" max="10755" width="40" style="31" customWidth="1"/>
    <col min="10756" max="10756" width="13.140625" style="31" bestFit="1" customWidth="1"/>
    <col min="10757" max="10757" width="44.5703125" style="31" bestFit="1" customWidth="1"/>
    <col min="10758" max="11008" width="9.140625" style="31"/>
    <col min="11009" max="11009" width="75.5703125" style="31" customWidth="1"/>
    <col min="11010" max="11010" width="16.85546875" style="31" bestFit="1" customWidth="1"/>
    <col min="11011" max="11011" width="40" style="31" customWidth="1"/>
    <col min="11012" max="11012" width="13.140625" style="31" bestFit="1" customWidth="1"/>
    <col min="11013" max="11013" width="44.5703125" style="31" bestFit="1" customWidth="1"/>
    <col min="11014" max="11264" width="9.140625" style="31"/>
    <col min="11265" max="11265" width="75.5703125" style="31" customWidth="1"/>
    <col min="11266" max="11266" width="16.85546875" style="31" bestFit="1" customWidth="1"/>
    <col min="11267" max="11267" width="40" style="31" customWidth="1"/>
    <col min="11268" max="11268" width="13.140625" style="31" bestFit="1" customWidth="1"/>
    <col min="11269" max="11269" width="44.5703125" style="31" bestFit="1" customWidth="1"/>
    <col min="11270" max="11520" width="9.140625" style="31"/>
    <col min="11521" max="11521" width="75.5703125" style="31" customWidth="1"/>
    <col min="11522" max="11522" width="16.85546875" style="31" bestFit="1" customWidth="1"/>
    <col min="11523" max="11523" width="40" style="31" customWidth="1"/>
    <col min="11524" max="11524" width="13.140625" style="31" bestFit="1" customWidth="1"/>
    <col min="11525" max="11525" width="44.5703125" style="31" bestFit="1" customWidth="1"/>
    <col min="11526" max="11776" width="9.140625" style="31"/>
    <col min="11777" max="11777" width="75.5703125" style="31" customWidth="1"/>
    <col min="11778" max="11778" width="16.85546875" style="31" bestFit="1" customWidth="1"/>
    <col min="11779" max="11779" width="40" style="31" customWidth="1"/>
    <col min="11780" max="11780" width="13.140625" style="31" bestFit="1" customWidth="1"/>
    <col min="11781" max="11781" width="44.5703125" style="31" bestFit="1" customWidth="1"/>
    <col min="11782" max="12032" width="9.140625" style="31"/>
    <col min="12033" max="12033" width="75.5703125" style="31" customWidth="1"/>
    <col min="12034" max="12034" width="16.85546875" style="31" bestFit="1" customWidth="1"/>
    <col min="12035" max="12035" width="40" style="31" customWidth="1"/>
    <col min="12036" max="12036" width="13.140625" style="31" bestFit="1" customWidth="1"/>
    <col min="12037" max="12037" width="44.5703125" style="31" bestFit="1" customWidth="1"/>
    <col min="12038" max="12288" width="9.140625" style="31"/>
    <col min="12289" max="12289" width="75.5703125" style="31" customWidth="1"/>
    <col min="12290" max="12290" width="16.85546875" style="31" bestFit="1" customWidth="1"/>
    <col min="12291" max="12291" width="40" style="31" customWidth="1"/>
    <col min="12292" max="12292" width="13.140625" style="31" bestFit="1" customWidth="1"/>
    <col min="12293" max="12293" width="44.5703125" style="31" bestFit="1" customWidth="1"/>
    <col min="12294" max="12544" width="9.140625" style="31"/>
    <col min="12545" max="12545" width="75.5703125" style="31" customWidth="1"/>
    <col min="12546" max="12546" width="16.85546875" style="31" bestFit="1" customWidth="1"/>
    <col min="12547" max="12547" width="40" style="31" customWidth="1"/>
    <col min="12548" max="12548" width="13.140625" style="31" bestFit="1" customWidth="1"/>
    <col min="12549" max="12549" width="44.5703125" style="31" bestFit="1" customWidth="1"/>
    <col min="12550" max="12800" width="9.140625" style="31"/>
    <col min="12801" max="12801" width="75.5703125" style="31" customWidth="1"/>
    <col min="12802" max="12802" width="16.85546875" style="31" bestFit="1" customWidth="1"/>
    <col min="12803" max="12803" width="40" style="31" customWidth="1"/>
    <col min="12804" max="12804" width="13.140625" style="31" bestFit="1" customWidth="1"/>
    <col min="12805" max="12805" width="44.5703125" style="31" bestFit="1" customWidth="1"/>
    <col min="12806" max="13056" width="9.140625" style="31"/>
    <col min="13057" max="13057" width="75.5703125" style="31" customWidth="1"/>
    <col min="13058" max="13058" width="16.85546875" style="31" bestFit="1" customWidth="1"/>
    <col min="13059" max="13059" width="40" style="31" customWidth="1"/>
    <col min="13060" max="13060" width="13.140625" style="31" bestFit="1" customWidth="1"/>
    <col min="13061" max="13061" width="44.5703125" style="31" bestFit="1" customWidth="1"/>
    <col min="13062" max="13312" width="9.140625" style="31"/>
    <col min="13313" max="13313" width="75.5703125" style="31" customWidth="1"/>
    <col min="13314" max="13314" width="16.85546875" style="31" bestFit="1" customWidth="1"/>
    <col min="13315" max="13315" width="40" style="31" customWidth="1"/>
    <col min="13316" max="13316" width="13.140625" style="31" bestFit="1" customWidth="1"/>
    <col min="13317" max="13317" width="44.5703125" style="31" bestFit="1" customWidth="1"/>
    <col min="13318" max="13568" width="9.140625" style="31"/>
    <col min="13569" max="13569" width="75.5703125" style="31" customWidth="1"/>
    <col min="13570" max="13570" width="16.85546875" style="31" bestFit="1" customWidth="1"/>
    <col min="13571" max="13571" width="40" style="31" customWidth="1"/>
    <col min="13572" max="13572" width="13.140625" style="31" bestFit="1" customWidth="1"/>
    <col min="13573" max="13573" width="44.5703125" style="31" bestFit="1" customWidth="1"/>
    <col min="13574" max="13824" width="9.140625" style="31"/>
    <col min="13825" max="13825" width="75.5703125" style="31" customWidth="1"/>
    <col min="13826" max="13826" width="16.85546875" style="31" bestFit="1" customWidth="1"/>
    <col min="13827" max="13827" width="40" style="31" customWidth="1"/>
    <col min="13828" max="13828" width="13.140625" style="31" bestFit="1" customWidth="1"/>
    <col min="13829" max="13829" width="44.5703125" style="31" bestFit="1" customWidth="1"/>
    <col min="13830" max="14080" width="9.140625" style="31"/>
    <col min="14081" max="14081" width="75.5703125" style="31" customWidth="1"/>
    <col min="14082" max="14082" width="16.85546875" style="31" bestFit="1" customWidth="1"/>
    <col min="14083" max="14083" width="40" style="31" customWidth="1"/>
    <col min="14084" max="14084" width="13.140625" style="31" bestFit="1" customWidth="1"/>
    <col min="14085" max="14085" width="44.5703125" style="31" bestFit="1" customWidth="1"/>
    <col min="14086" max="14336" width="9.140625" style="31"/>
    <col min="14337" max="14337" width="75.5703125" style="31" customWidth="1"/>
    <col min="14338" max="14338" width="16.85546875" style="31" bestFit="1" customWidth="1"/>
    <col min="14339" max="14339" width="40" style="31" customWidth="1"/>
    <col min="14340" max="14340" width="13.140625" style="31" bestFit="1" customWidth="1"/>
    <col min="14341" max="14341" width="44.5703125" style="31" bestFit="1" customWidth="1"/>
    <col min="14342" max="14592" width="9.140625" style="31"/>
    <col min="14593" max="14593" width="75.5703125" style="31" customWidth="1"/>
    <col min="14594" max="14594" width="16.85546875" style="31" bestFit="1" customWidth="1"/>
    <col min="14595" max="14595" width="40" style="31" customWidth="1"/>
    <col min="14596" max="14596" width="13.140625" style="31" bestFit="1" customWidth="1"/>
    <col min="14597" max="14597" width="44.5703125" style="31" bestFit="1" customWidth="1"/>
    <col min="14598" max="14848" width="9.140625" style="31"/>
    <col min="14849" max="14849" width="75.5703125" style="31" customWidth="1"/>
    <col min="14850" max="14850" width="16.85546875" style="31" bestFit="1" customWidth="1"/>
    <col min="14851" max="14851" width="40" style="31" customWidth="1"/>
    <col min="14852" max="14852" width="13.140625" style="31" bestFit="1" customWidth="1"/>
    <col min="14853" max="14853" width="44.5703125" style="31" bestFit="1" customWidth="1"/>
    <col min="14854" max="15104" width="9.140625" style="31"/>
    <col min="15105" max="15105" width="75.5703125" style="31" customWidth="1"/>
    <col min="15106" max="15106" width="16.85546875" style="31" bestFit="1" customWidth="1"/>
    <col min="15107" max="15107" width="40" style="31" customWidth="1"/>
    <col min="15108" max="15108" width="13.140625" style="31" bestFit="1" customWidth="1"/>
    <col min="15109" max="15109" width="44.5703125" style="31" bestFit="1" customWidth="1"/>
    <col min="15110" max="15360" width="9.140625" style="31"/>
    <col min="15361" max="15361" width="75.5703125" style="31" customWidth="1"/>
    <col min="15362" max="15362" width="16.85546875" style="31" bestFit="1" customWidth="1"/>
    <col min="15363" max="15363" width="40" style="31" customWidth="1"/>
    <col min="15364" max="15364" width="13.140625" style="31" bestFit="1" customWidth="1"/>
    <col min="15365" max="15365" width="44.5703125" style="31" bestFit="1" customWidth="1"/>
    <col min="15366" max="15616" width="9.140625" style="31"/>
    <col min="15617" max="15617" width="75.5703125" style="31" customWidth="1"/>
    <col min="15618" max="15618" width="16.85546875" style="31" bestFit="1" customWidth="1"/>
    <col min="15619" max="15619" width="40" style="31" customWidth="1"/>
    <col min="15620" max="15620" width="13.140625" style="31" bestFit="1" customWidth="1"/>
    <col min="15621" max="15621" width="44.5703125" style="31" bestFit="1" customWidth="1"/>
    <col min="15622" max="15872" width="9.140625" style="31"/>
    <col min="15873" max="15873" width="75.5703125" style="31" customWidth="1"/>
    <col min="15874" max="15874" width="16.85546875" style="31" bestFit="1" customWidth="1"/>
    <col min="15875" max="15875" width="40" style="31" customWidth="1"/>
    <col min="15876" max="15876" width="13.140625" style="31" bestFit="1" customWidth="1"/>
    <col min="15877" max="15877" width="44.5703125" style="31" bestFit="1" customWidth="1"/>
    <col min="15878" max="16128" width="9.140625" style="31"/>
    <col min="16129" max="16129" width="75.5703125" style="31" customWidth="1"/>
    <col min="16130" max="16130" width="16.85546875" style="31" bestFit="1" customWidth="1"/>
    <col min="16131" max="16131" width="40" style="31" customWidth="1"/>
    <col min="16132" max="16132" width="13.140625" style="31" bestFit="1" customWidth="1"/>
    <col min="16133" max="16133" width="44.5703125" style="31" bestFit="1" customWidth="1"/>
    <col min="16134" max="16384" width="9.140625" style="31"/>
  </cols>
  <sheetData>
    <row r="1" spans="1:6" ht="20.25" thickBot="1" x14ac:dyDescent="0.25">
      <c r="A1" s="205" t="s">
        <v>20</v>
      </c>
      <c r="B1" s="206"/>
      <c r="C1" s="206"/>
      <c r="D1" s="206"/>
      <c r="E1" s="207"/>
    </row>
    <row r="2" spans="1:6" ht="20.25" thickBot="1" x14ac:dyDescent="0.25">
      <c r="A2" s="34"/>
      <c r="B2" s="35"/>
      <c r="C2" s="35"/>
      <c r="D2" s="35"/>
      <c r="E2" s="36"/>
    </row>
    <row r="3" spans="1:6" ht="15.75" thickBot="1" x14ac:dyDescent="0.25">
      <c r="A3" s="208" t="s">
        <v>128</v>
      </c>
      <c r="B3" s="209"/>
      <c r="C3" s="209"/>
      <c r="D3" s="209"/>
      <c r="E3" s="210"/>
    </row>
    <row r="4" spans="1:6" ht="20.25" thickBot="1" x14ac:dyDescent="0.25">
      <c r="A4" s="37"/>
      <c r="B4" s="38"/>
      <c r="C4" s="38"/>
      <c r="D4" s="38"/>
      <c r="E4" s="39"/>
    </row>
    <row r="5" spans="1:6" x14ac:dyDescent="0.2">
      <c r="A5" s="40" t="s">
        <v>21</v>
      </c>
      <c r="B5" s="41" t="s">
        <v>22</v>
      </c>
      <c r="C5" s="41" t="s">
        <v>23</v>
      </c>
      <c r="D5" s="41" t="s">
        <v>24</v>
      </c>
      <c r="E5" s="42" t="s">
        <v>25</v>
      </c>
    </row>
    <row r="6" spans="1:6" ht="13.5" thickBot="1" x14ac:dyDescent="0.25">
      <c r="A6" s="43" t="s">
        <v>158</v>
      </c>
      <c r="B6" s="44" t="s">
        <v>22</v>
      </c>
      <c r="C6" s="44" t="s">
        <v>159</v>
      </c>
      <c r="D6" s="151">
        <v>7816.75</v>
      </c>
      <c r="E6" s="45" t="s">
        <v>22</v>
      </c>
    </row>
    <row r="7" spans="1:6" ht="13.5" thickBot="1" x14ac:dyDescent="0.25">
      <c r="A7" s="46"/>
      <c r="B7" s="16"/>
      <c r="C7" s="16"/>
      <c r="D7" s="16"/>
      <c r="E7" s="47"/>
    </row>
    <row r="8" spans="1:6" x14ac:dyDescent="0.2">
      <c r="A8" s="48" t="s">
        <v>26</v>
      </c>
      <c r="B8" s="41" t="s">
        <v>27</v>
      </c>
      <c r="C8" s="41" t="s">
        <v>23</v>
      </c>
      <c r="D8" s="41" t="s">
        <v>24</v>
      </c>
      <c r="E8" s="42" t="s">
        <v>25</v>
      </c>
    </row>
    <row r="9" spans="1:6" x14ac:dyDescent="0.2">
      <c r="A9" s="133" t="s">
        <v>28</v>
      </c>
      <c r="B9" s="50" t="s">
        <v>22</v>
      </c>
      <c r="C9" s="21" t="s">
        <v>22</v>
      </c>
      <c r="D9" s="51">
        <f>TRUNC(D6,2)</f>
        <v>7816.75</v>
      </c>
      <c r="E9" s="52" t="s">
        <v>22</v>
      </c>
      <c r="F9" s="131"/>
    </row>
    <row r="10" spans="1:6" ht="25.5" x14ac:dyDescent="0.2">
      <c r="A10" s="150" t="s">
        <v>160</v>
      </c>
      <c r="B10" s="50">
        <v>16</v>
      </c>
      <c r="C10" s="50" t="s">
        <v>161</v>
      </c>
      <c r="D10" s="132">
        <f>TRUNC((D9*200%/200)*B10,2)</f>
        <v>1250.68</v>
      </c>
      <c r="E10" s="56" t="s">
        <v>163</v>
      </c>
      <c r="F10" s="131"/>
    </row>
    <row r="11" spans="1:6" ht="25.5" x14ac:dyDescent="0.2">
      <c r="A11" s="53" t="s">
        <v>29</v>
      </c>
      <c r="B11" s="50" t="s">
        <v>22</v>
      </c>
      <c r="C11" s="54" t="s">
        <v>162</v>
      </c>
      <c r="D11" s="55">
        <f>TRUNC(D10*5/25,2)</f>
        <v>250.13</v>
      </c>
      <c r="E11" s="56" t="s">
        <v>30</v>
      </c>
    </row>
    <row r="12" spans="1:6" ht="13.5" thickBot="1" x14ac:dyDescent="0.25">
      <c r="A12" s="59" t="s">
        <v>31</v>
      </c>
      <c r="B12" s="60" t="s">
        <v>22</v>
      </c>
      <c r="C12" s="61" t="s">
        <v>32</v>
      </c>
      <c r="D12" s="62">
        <f>SUM(D9:D11)</f>
        <v>9317.56</v>
      </c>
      <c r="E12" s="63" t="s">
        <v>22</v>
      </c>
    </row>
    <row r="13" spans="1:6" ht="13.5" thickBot="1" x14ac:dyDescent="0.25">
      <c r="A13" s="46"/>
      <c r="B13" s="64"/>
      <c r="C13" s="23"/>
      <c r="D13" s="16"/>
      <c r="E13" s="47"/>
    </row>
    <row r="14" spans="1:6" x14ac:dyDescent="0.2">
      <c r="A14" s="48" t="s">
        <v>33</v>
      </c>
      <c r="B14" s="41" t="s">
        <v>136</v>
      </c>
      <c r="C14" s="41" t="s">
        <v>23</v>
      </c>
      <c r="D14" s="41" t="s">
        <v>24</v>
      </c>
      <c r="E14" s="42" t="s">
        <v>25</v>
      </c>
    </row>
    <row r="15" spans="1:6" x14ac:dyDescent="0.2">
      <c r="A15" s="65" t="s">
        <v>34</v>
      </c>
      <c r="B15" s="66"/>
      <c r="C15" s="67"/>
      <c r="D15" s="68"/>
      <c r="E15" s="69"/>
    </row>
    <row r="16" spans="1:6" x14ac:dyDescent="0.2">
      <c r="A16" s="133" t="s">
        <v>188</v>
      </c>
      <c r="B16" s="138">
        <v>0.08</v>
      </c>
      <c r="C16" s="21" t="s">
        <v>35</v>
      </c>
      <c r="D16" s="70">
        <f t="shared" ref="D16:D22" si="0">TRUNC((B16)*$D$12,2)</f>
        <v>745.4</v>
      </c>
      <c r="E16" s="71" t="s">
        <v>36</v>
      </c>
    </row>
    <row r="17" spans="1:6" x14ac:dyDescent="0.2">
      <c r="A17" s="133" t="s">
        <v>189</v>
      </c>
      <c r="B17" s="138">
        <v>1.4999999999999999E-2</v>
      </c>
      <c r="C17" s="21" t="s">
        <v>37</v>
      </c>
      <c r="D17" s="70">
        <f t="shared" si="0"/>
        <v>139.76</v>
      </c>
      <c r="E17" s="71" t="s">
        <v>38</v>
      </c>
    </row>
    <row r="18" spans="1:6" x14ac:dyDescent="0.2">
      <c r="A18" s="133" t="s">
        <v>190</v>
      </c>
      <c r="B18" s="138">
        <v>0.01</v>
      </c>
      <c r="C18" s="21" t="s">
        <v>39</v>
      </c>
      <c r="D18" s="70">
        <f t="shared" si="0"/>
        <v>93.17</v>
      </c>
      <c r="E18" s="71" t="s">
        <v>40</v>
      </c>
    </row>
    <row r="19" spans="1:6" x14ac:dyDescent="0.2">
      <c r="A19" s="133" t="s">
        <v>191</v>
      </c>
      <c r="B19" s="138">
        <v>2E-3</v>
      </c>
      <c r="C19" s="21" t="s">
        <v>41</v>
      </c>
      <c r="D19" s="70">
        <f t="shared" si="0"/>
        <v>18.63</v>
      </c>
      <c r="E19" s="71" t="s">
        <v>42</v>
      </c>
    </row>
    <row r="20" spans="1:6" x14ac:dyDescent="0.2">
      <c r="A20" s="133" t="s">
        <v>192</v>
      </c>
      <c r="B20" s="138">
        <v>6.0000000000000001E-3</v>
      </c>
      <c r="C20" s="21" t="s">
        <v>43</v>
      </c>
      <c r="D20" s="70">
        <f t="shared" si="0"/>
        <v>55.9</v>
      </c>
      <c r="E20" s="71" t="s">
        <v>44</v>
      </c>
    </row>
    <row r="21" spans="1:6" x14ac:dyDescent="0.2">
      <c r="A21" s="133" t="s">
        <v>193</v>
      </c>
      <c r="B21" s="138">
        <v>2.5000000000000001E-2</v>
      </c>
      <c r="C21" s="21" t="s">
        <v>45</v>
      </c>
      <c r="D21" s="70">
        <f t="shared" si="0"/>
        <v>232.93</v>
      </c>
      <c r="E21" s="71" t="s">
        <v>46</v>
      </c>
    </row>
    <row r="22" spans="1:6" x14ac:dyDescent="0.2">
      <c r="A22" s="134" t="s">
        <v>194</v>
      </c>
      <c r="B22" s="136">
        <f>'Quadro resumo'!C28</f>
        <v>0</v>
      </c>
      <c r="C22" s="21" t="s">
        <v>47</v>
      </c>
      <c r="D22" s="73">
        <f t="shared" si="0"/>
        <v>0</v>
      </c>
      <c r="E22" s="71" t="s">
        <v>48</v>
      </c>
    </row>
    <row r="23" spans="1:6" ht="13.5" thickBot="1" x14ac:dyDescent="0.25">
      <c r="A23" s="59" t="s">
        <v>49</v>
      </c>
      <c r="B23" s="141">
        <f>SUM(B16:B22)</f>
        <v>0.13800000000000001</v>
      </c>
      <c r="C23" s="60" t="s">
        <v>32</v>
      </c>
      <c r="D23" s="75">
        <f>SUM(D16:D22)</f>
        <v>1285.79</v>
      </c>
      <c r="E23" s="63" t="s">
        <v>22</v>
      </c>
      <c r="F23" s="131"/>
    </row>
    <row r="24" spans="1:6" ht="13.5" thickBot="1" x14ac:dyDescent="0.25">
      <c r="A24" s="46"/>
      <c r="B24" s="16"/>
      <c r="C24" s="16"/>
      <c r="D24" s="16"/>
      <c r="E24" s="47"/>
    </row>
    <row r="25" spans="1:6" x14ac:dyDescent="0.2">
      <c r="A25" s="48" t="s">
        <v>50</v>
      </c>
      <c r="B25" s="41" t="s">
        <v>136</v>
      </c>
      <c r="C25" s="41" t="s">
        <v>23</v>
      </c>
      <c r="D25" s="41" t="s">
        <v>24</v>
      </c>
      <c r="E25" s="42" t="s">
        <v>25</v>
      </c>
    </row>
    <row r="26" spans="1:6" x14ac:dyDescent="0.2">
      <c r="A26" s="133" t="s">
        <v>51</v>
      </c>
      <c r="B26" s="140">
        <f>1/12</f>
        <v>8.3333333333333329E-2</v>
      </c>
      <c r="C26" s="21" t="s">
        <v>139</v>
      </c>
      <c r="D26" s="73">
        <f t="shared" ref="D26:D33" si="1">TRUNC((B26)*$D$12,2)</f>
        <v>776.46</v>
      </c>
      <c r="E26" s="71" t="s">
        <v>52</v>
      </c>
    </row>
    <row r="27" spans="1:6" x14ac:dyDescent="0.2">
      <c r="A27" s="133" t="s">
        <v>53</v>
      </c>
      <c r="B27" s="138">
        <f>((1+1/3)/12)</f>
        <v>0.1111111111111111</v>
      </c>
      <c r="C27" s="21" t="s">
        <v>140</v>
      </c>
      <c r="D27" s="73">
        <f t="shared" si="1"/>
        <v>1035.28</v>
      </c>
      <c r="E27" s="71" t="s">
        <v>54</v>
      </c>
    </row>
    <row r="28" spans="1:6" x14ac:dyDescent="0.2">
      <c r="A28" s="49" t="s">
        <v>55</v>
      </c>
      <c r="B28" s="138">
        <f>((7/30)/12)</f>
        <v>1.9444444444444445E-2</v>
      </c>
      <c r="C28" s="21" t="s">
        <v>141</v>
      </c>
      <c r="D28" s="73">
        <f t="shared" si="1"/>
        <v>181.17</v>
      </c>
      <c r="E28" s="71" t="s">
        <v>56</v>
      </c>
    </row>
    <row r="29" spans="1:6" x14ac:dyDescent="0.2">
      <c r="A29" s="49" t="s">
        <v>57</v>
      </c>
      <c r="B29" s="138">
        <f>((5/30)/12)</f>
        <v>1.3888888888888888E-2</v>
      </c>
      <c r="C29" s="21" t="s">
        <v>142</v>
      </c>
      <c r="D29" s="73">
        <f t="shared" si="1"/>
        <v>129.41</v>
      </c>
      <c r="E29" s="71" t="s">
        <v>58</v>
      </c>
    </row>
    <row r="30" spans="1:6" x14ac:dyDescent="0.2">
      <c r="A30" s="49" t="s">
        <v>59</v>
      </c>
      <c r="B30" s="138">
        <f>((15/30)/12)*1%</f>
        <v>4.1666666666666664E-4</v>
      </c>
      <c r="C30" s="21" t="s">
        <v>144</v>
      </c>
      <c r="D30" s="73">
        <f t="shared" si="1"/>
        <v>3.88</v>
      </c>
      <c r="E30" s="71" t="s">
        <v>60</v>
      </c>
    </row>
    <row r="31" spans="1:6" x14ac:dyDescent="0.2">
      <c r="A31" s="49" t="s">
        <v>61</v>
      </c>
      <c r="B31" s="138">
        <f>(1/30)/12</f>
        <v>2.7777777777777779E-3</v>
      </c>
      <c r="C31" s="76" t="s">
        <v>143</v>
      </c>
      <c r="D31" s="73">
        <f t="shared" si="1"/>
        <v>25.88</v>
      </c>
      <c r="E31" s="71" t="s">
        <v>62</v>
      </c>
    </row>
    <row r="32" spans="1:6" ht="25.5" x14ac:dyDescent="0.2">
      <c r="A32" s="49" t="s">
        <v>63</v>
      </c>
      <c r="B32" s="138">
        <f>((1+1/3)/12)*1.5%*(4/12)</f>
        <v>5.5555555555555545E-4</v>
      </c>
      <c r="C32" s="57" t="s">
        <v>154</v>
      </c>
      <c r="D32" s="73">
        <f t="shared" si="1"/>
        <v>5.17</v>
      </c>
      <c r="E32" s="77" t="s">
        <v>64</v>
      </c>
    </row>
    <row r="33" spans="1:5" ht="14.25" x14ac:dyDescent="0.2">
      <c r="A33" s="49" t="s">
        <v>65</v>
      </c>
      <c r="B33" s="138">
        <f>((5/30)/12)*1.5%</f>
        <v>2.0833333333333332E-4</v>
      </c>
      <c r="C33" s="21" t="s">
        <v>147</v>
      </c>
      <c r="D33" s="73">
        <f t="shared" si="1"/>
        <v>1.94</v>
      </c>
      <c r="E33" s="71" t="s">
        <v>66</v>
      </c>
    </row>
    <row r="34" spans="1:5" ht="13.5" thickBot="1" x14ac:dyDescent="0.25">
      <c r="A34" s="59" t="s">
        <v>67</v>
      </c>
      <c r="B34" s="141">
        <f>SUM(B26:B33)</f>
        <v>0.23173611111111109</v>
      </c>
      <c r="C34" s="60" t="s">
        <v>32</v>
      </c>
      <c r="D34" s="61">
        <f>SUM(D26:D33)</f>
        <v>2159.1900000000005</v>
      </c>
      <c r="E34" s="63" t="s">
        <v>22</v>
      </c>
    </row>
    <row r="35" spans="1:5" ht="14.25" x14ac:dyDescent="0.2">
      <c r="A35" s="46" t="s">
        <v>68</v>
      </c>
      <c r="B35" s="16"/>
      <c r="C35" s="16" t="s">
        <v>69</v>
      </c>
      <c r="D35" s="16"/>
      <c r="E35" s="47"/>
    </row>
    <row r="36" spans="1:5" ht="14.25" x14ac:dyDescent="0.2">
      <c r="A36" s="46" t="s">
        <v>70</v>
      </c>
      <c r="B36" s="16"/>
      <c r="C36" s="16" t="s">
        <v>155</v>
      </c>
      <c r="D36" s="78"/>
      <c r="E36" s="47"/>
    </row>
    <row r="37" spans="1:5" ht="15" thickBot="1" x14ac:dyDescent="0.25">
      <c r="A37" s="46" t="s">
        <v>71</v>
      </c>
      <c r="B37" s="16"/>
      <c r="C37" s="16" t="s">
        <v>137</v>
      </c>
      <c r="D37" s="78"/>
      <c r="E37" s="47"/>
    </row>
    <row r="38" spans="1:5" x14ac:dyDescent="0.2">
      <c r="A38" s="48" t="s">
        <v>72</v>
      </c>
      <c r="B38" s="41" t="s">
        <v>136</v>
      </c>
      <c r="C38" s="41" t="s">
        <v>23</v>
      </c>
      <c r="D38" s="41" t="s">
        <v>24</v>
      </c>
      <c r="E38" s="42" t="s">
        <v>25</v>
      </c>
    </row>
    <row r="39" spans="1:5" x14ac:dyDescent="0.2">
      <c r="A39" s="49" t="s">
        <v>73</v>
      </c>
      <c r="B39" s="140">
        <f>25%*(1/12)</f>
        <v>2.0833333333333332E-2</v>
      </c>
      <c r="C39" s="21" t="s">
        <v>148</v>
      </c>
      <c r="D39" s="73">
        <f>TRUNC(B39*$D$12,2)</f>
        <v>194.11</v>
      </c>
      <c r="E39" s="71" t="s">
        <v>74</v>
      </c>
    </row>
    <row r="40" spans="1:5" x14ac:dyDescent="0.2">
      <c r="A40" s="49" t="s">
        <v>75</v>
      </c>
      <c r="B40" s="138">
        <f>25%*(1/12)</f>
        <v>2.0833333333333332E-2</v>
      </c>
      <c r="C40" s="21" t="s">
        <v>148</v>
      </c>
      <c r="D40" s="73">
        <f>TRUNC(B40*$D$12,2)</f>
        <v>194.11</v>
      </c>
      <c r="E40" s="71" t="s">
        <v>76</v>
      </c>
    </row>
    <row r="41" spans="1:5" x14ac:dyDescent="0.2">
      <c r="A41" s="49" t="s">
        <v>77</v>
      </c>
      <c r="B41" s="138">
        <f>40%*8%</f>
        <v>3.2000000000000001E-2</v>
      </c>
      <c r="C41" s="21" t="s">
        <v>145</v>
      </c>
      <c r="D41" s="73">
        <f>TRUNC(B41*$D$12,2)</f>
        <v>298.16000000000003</v>
      </c>
      <c r="E41" s="71" t="s">
        <v>78</v>
      </c>
    </row>
    <row r="42" spans="1:5" ht="14.25" x14ac:dyDescent="0.2">
      <c r="A42" s="49" t="s">
        <v>79</v>
      </c>
      <c r="B42" s="138">
        <f>10%*8%</f>
        <v>8.0000000000000002E-3</v>
      </c>
      <c r="C42" s="21" t="s">
        <v>146</v>
      </c>
      <c r="D42" s="73">
        <f>TRUNC(B42*$D$12,2)</f>
        <v>74.540000000000006</v>
      </c>
      <c r="E42" s="71" t="s">
        <v>80</v>
      </c>
    </row>
    <row r="43" spans="1:5" ht="13.5" thickBot="1" x14ac:dyDescent="0.25">
      <c r="A43" s="59" t="s">
        <v>81</v>
      </c>
      <c r="B43" s="137">
        <f>SUM(B39:B42)</f>
        <v>8.1666666666666665E-2</v>
      </c>
      <c r="C43" s="60" t="s">
        <v>32</v>
      </c>
      <c r="D43" s="61">
        <f>SUM(D39:D42)</f>
        <v>760.92000000000007</v>
      </c>
      <c r="E43" s="63" t="s">
        <v>22</v>
      </c>
    </row>
    <row r="44" spans="1:5" x14ac:dyDescent="0.2">
      <c r="A44" s="46" t="s">
        <v>82</v>
      </c>
      <c r="B44" s="16"/>
      <c r="C44" s="16" t="s">
        <v>83</v>
      </c>
      <c r="D44" s="16"/>
      <c r="E44" s="47"/>
    </row>
    <row r="45" spans="1:5" ht="27" customHeight="1" thickBot="1" x14ac:dyDescent="0.25">
      <c r="A45" s="211" t="s">
        <v>84</v>
      </c>
      <c r="B45" s="212"/>
      <c r="C45" s="16" t="s">
        <v>85</v>
      </c>
      <c r="D45" s="79"/>
      <c r="E45" s="80"/>
    </row>
    <row r="46" spans="1:5" x14ac:dyDescent="0.2">
      <c r="A46" s="48" t="s">
        <v>86</v>
      </c>
      <c r="B46" s="41" t="s">
        <v>136</v>
      </c>
      <c r="C46" s="41" t="s">
        <v>23</v>
      </c>
      <c r="D46" s="41" t="s">
        <v>24</v>
      </c>
      <c r="E46" s="42" t="s">
        <v>25</v>
      </c>
    </row>
    <row r="47" spans="1:5" x14ac:dyDescent="0.2">
      <c r="A47" s="49" t="s">
        <v>87</v>
      </c>
      <c r="B47" s="140">
        <f>B23*B34</f>
        <v>3.1979583333333332E-2</v>
      </c>
      <c r="C47" s="21" t="s">
        <v>138</v>
      </c>
      <c r="D47" s="73">
        <f>TRUNC((B47)*$D$12,2)</f>
        <v>297.97000000000003</v>
      </c>
      <c r="E47" s="52" t="s">
        <v>22</v>
      </c>
    </row>
    <row r="48" spans="1:5" ht="13.5" thickBot="1" x14ac:dyDescent="0.25">
      <c r="A48" s="59" t="s">
        <v>88</v>
      </c>
      <c r="B48" s="141">
        <f>B47</f>
        <v>3.1979583333333332E-2</v>
      </c>
      <c r="C48" s="60" t="s">
        <v>32</v>
      </c>
      <c r="D48" s="61">
        <f>D47</f>
        <v>297.97000000000003</v>
      </c>
      <c r="E48" s="63" t="s">
        <v>22</v>
      </c>
    </row>
    <row r="49" spans="1:5" ht="13.5" thickBot="1" x14ac:dyDescent="0.25">
      <c r="A49" s="46"/>
      <c r="B49" s="16"/>
      <c r="C49" s="16"/>
      <c r="D49" s="16"/>
      <c r="E49" s="47"/>
    </row>
    <row r="50" spans="1:5" x14ac:dyDescent="0.2">
      <c r="A50" s="48" t="s">
        <v>89</v>
      </c>
      <c r="B50" s="41" t="s">
        <v>136</v>
      </c>
      <c r="C50" s="41" t="s">
        <v>23</v>
      </c>
      <c r="D50" s="41" t="s">
        <v>24</v>
      </c>
      <c r="E50" s="42" t="s">
        <v>25</v>
      </c>
    </row>
    <row r="51" spans="1:5" x14ac:dyDescent="0.2">
      <c r="A51" s="81" t="s">
        <v>90</v>
      </c>
      <c r="B51" s="139">
        <f>(B16*B39)</f>
        <v>1.6666666666666666E-3</v>
      </c>
      <c r="C51" s="21" t="s">
        <v>91</v>
      </c>
      <c r="D51" s="73">
        <f>TRUNC((B51)*$D$12,2)</f>
        <v>15.52</v>
      </c>
      <c r="E51" s="71" t="s">
        <v>92</v>
      </c>
    </row>
    <row r="52" spans="1:5" ht="25.5" x14ac:dyDescent="0.2">
      <c r="A52" s="72" t="s">
        <v>93</v>
      </c>
      <c r="B52" s="138">
        <f>(B16*B30)</f>
        <v>3.3333333333333335E-5</v>
      </c>
      <c r="C52" s="21" t="s">
        <v>94</v>
      </c>
      <c r="D52" s="73">
        <f>TRUNC((B52)*$D$12,2)</f>
        <v>0.31</v>
      </c>
      <c r="E52" s="52" t="s">
        <v>22</v>
      </c>
    </row>
    <row r="53" spans="1:5" ht="13.5" thickBot="1" x14ac:dyDescent="0.25">
      <c r="A53" s="59" t="s">
        <v>95</v>
      </c>
      <c r="B53" s="141">
        <f>SUM(B51:B52)</f>
        <v>1.6999999999999999E-3</v>
      </c>
      <c r="C53" s="60" t="s">
        <v>32</v>
      </c>
      <c r="D53" s="75">
        <f>SUM(D51:D52)</f>
        <v>15.83</v>
      </c>
      <c r="E53" s="63" t="s">
        <v>22</v>
      </c>
    </row>
    <row r="54" spans="1:5" ht="27" customHeight="1" thickBot="1" x14ac:dyDescent="0.25">
      <c r="A54" s="213" t="s">
        <v>96</v>
      </c>
      <c r="B54" s="214"/>
      <c r="C54" s="214"/>
      <c r="D54" s="214"/>
      <c r="E54" s="215"/>
    </row>
    <row r="55" spans="1:5" x14ac:dyDescent="0.2">
      <c r="A55" s="48" t="s">
        <v>97</v>
      </c>
      <c r="B55" s="41" t="s">
        <v>136</v>
      </c>
      <c r="C55" s="41" t="s">
        <v>23</v>
      </c>
      <c r="D55" s="41" t="s">
        <v>24</v>
      </c>
      <c r="E55" s="42" t="s">
        <v>25</v>
      </c>
    </row>
    <row r="56" spans="1:5" ht="38.25" x14ac:dyDescent="0.2">
      <c r="A56" s="72" t="s">
        <v>98</v>
      </c>
      <c r="B56" s="82">
        <f>B23*(13/12)*(4/12)*1.5%</f>
        <v>7.474999999999999E-4</v>
      </c>
      <c r="C56" s="82" t="s">
        <v>157</v>
      </c>
      <c r="D56" s="73">
        <f>TRUNC((B56)*$D$12,2)</f>
        <v>6.96</v>
      </c>
      <c r="E56" s="77" t="s">
        <v>156</v>
      </c>
    </row>
    <row r="57" spans="1:5" ht="13.5" thickBot="1" x14ac:dyDescent="0.25">
      <c r="A57" s="59" t="s">
        <v>99</v>
      </c>
      <c r="B57" s="141">
        <f>B56</f>
        <v>7.474999999999999E-4</v>
      </c>
      <c r="C57" s="60" t="s">
        <v>32</v>
      </c>
      <c r="D57" s="61">
        <f>D56</f>
        <v>6.96</v>
      </c>
      <c r="E57" s="63" t="s">
        <v>22</v>
      </c>
    </row>
    <row r="58" spans="1:5" ht="13.5" thickBot="1" x14ac:dyDescent="0.25">
      <c r="A58" s="46"/>
      <c r="B58" s="16"/>
      <c r="C58" s="16"/>
      <c r="D58" s="16"/>
      <c r="E58" s="47"/>
    </row>
    <row r="59" spans="1:5" ht="13.5" thickBot="1" x14ac:dyDescent="0.25">
      <c r="A59" s="83" t="s">
        <v>100</v>
      </c>
      <c r="B59" s="142">
        <f>B23+B34+B43+B48+B53+B57</f>
        <v>0.48582986111111109</v>
      </c>
      <c r="C59" s="85" t="s">
        <v>32</v>
      </c>
      <c r="D59" s="86">
        <f>SUM(D23,D34,D43,D48,D53,D57)</f>
        <v>4526.6600000000008</v>
      </c>
      <c r="E59" s="87" t="s">
        <v>22</v>
      </c>
    </row>
    <row r="60" spans="1:5" ht="13.5" thickBot="1" x14ac:dyDescent="0.25">
      <c r="A60" s="46"/>
      <c r="B60" s="16"/>
      <c r="C60" s="16"/>
      <c r="D60" s="88"/>
      <c r="E60" s="47"/>
    </row>
    <row r="61" spans="1:5" x14ac:dyDescent="0.2">
      <c r="A61" s="48" t="s">
        <v>101</v>
      </c>
      <c r="B61" s="41" t="s">
        <v>24</v>
      </c>
      <c r="C61" s="41" t="s">
        <v>23</v>
      </c>
      <c r="D61" s="41" t="s">
        <v>24</v>
      </c>
      <c r="E61" s="42" t="s">
        <v>25</v>
      </c>
    </row>
    <row r="62" spans="1:5" ht="25.5" x14ac:dyDescent="0.2">
      <c r="A62" s="133" t="s">
        <v>102</v>
      </c>
      <c r="B62" s="90">
        <f>TRUNC(20.8*22,2)</f>
        <v>457.6</v>
      </c>
      <c r="C62" s="89" t="s">
        <v>178</v>
      </c>
      <c r="D62" s="51">
        <f>B62</f>
        <v>457.6</v>
      </c>
      <c r="E62" s="58" t="s">
        <v>179</v>
      </c>
    </row>
    <row r="63" spans="1:5" ht="25.5" customHeight="1" x14ac:dyDescent="0.2">
      <c r="A63" s="133" t="s">
        <v>103</v>
      </c>
      <c r="B63" s="90">
        <f>TRUNC(4.5*22*4,2)</f>
        <v>396</v>
      </c>
      <c r="C63" s="89" t="s">
        <v>167</v>
      </c>
      <c r="D63" s="51">
        <f t="shared" ref="D63" si="2">B63</f>
        <v>396</v>
      </c>
      <c r="E63" s="58" t="s">
        <v>151</v>
      </c>
    </row>
    <row r="64" spans="1:5" x14ac:dyDescent="0.2">
      <c r="A64" s="145" t="s">
        <v>104</v>
      </c>
      <c r="B64" s="124">
        <f>'Quadro resumo'!C20*4</f>
        <v>0</v>
      </c>
      <c r="C64" s="21" t="str">
        <f>" Valor * 4"</f>
        <v xml:space="preserve"> Valor * 4</v>
      </c>
      <c r="D64" s="92">
        <f t="shared" ref="D64:D65" si="3">B64</f>
        <v>0</v>
      </c>
      <c r="E64" s="58" t="s">
        <v>164</v>
      </c>
    </row>
    <row r="65" spans="1:5" x14ac:dyDescent="0.2">
      <c r="A65" s="146" t="s">
        <v>127</v>
      </c>
      <c r="B65" s="124">
        <f>ROUNDUP(('Quadro resumo'!C21*4)/12,2)</f>
        <v>0</v>
      </c>
      <c r="C65" s="50" t="str">
        <f>"Valor * 4 / 12"</f>
        <v>Valor * 4 / 12</v>
      </c>
      <c r="D65" s="130">
        <f t="shared" si="3"/>
        <v>0</v>
      </c>
      <c r="E65" s="58" t="s">
        <v>164</v>
      </c>
    </row>
    <row r="66" spans="1:5" x14ac:dyDescent="0.2">
      <c r="A66" s="134" t="s">
        <v>105</v>
      </c>
      <c r="B66" s="124">
        <f>IF(B63&gt;=TRUNC(0.06*D9,2),TRUNC(-0.06*D9,2),-B63)</f>
        <v>-396</v>
      </c>
      <c r="C66" s="21" t="s">
        <v>106</v>
      </c>
      <c r="D66" s="70">
        <f>B66</f>
        <v>-396</v>
      </c>
      <c r="E66" s="93" t="s">
        <v>107</v>
      </c>
    </row>
    <row r="67" spans="1:5" ht="25.5" customHeight="1" x14ac:dyDescent="0.2">
      <c r="A67" s="135" t="s">
        <v>131</v>
      </c>
      <c r="B67" s="125">
        <f>ROUNDUP('Quadro resumo'!C16/12,2)</f>
        <v>0</v>
      </c>
      <c r="C67" s="50" t="s">
        <v>182</v>
      </c>
      <c r="D67" s="55">
        <f>B67</f>
        <v>0</v>
      </c>
      <c r="E67" s="56" t="s">
        <v>108</v>
      </c>
    </row>
    <row r="68" spans="1:5" ht="38.25" customHeight="1" x14ac:dyDescent="0.2">
      <c r="A68" s="135" t="s">
        <v>123</v>
      </c>
      <c r="B68" s="125">
        <f>TRUNC('Quadro resumo'!C25,2)</f>
        <v>0</v>
      </c>
      <c r="C68" s="50" t="s">
        <v>182</v>
      </c>
      <c r="D68" s="55">
        <f>B68</f>
        <v>0</v>
      </c>
      <c r="E68" s="56" t="s">
        <v>124</v>
      </c>
    </row>
    <row r="69" spans="1:5" ht="13.5" thickBot="1" x14ac:dyDescent="0.25">
      <c r="A69" s="59" t="s">
        <v>109</v>
      </c>
      <c r="B69" s="74" t="s">
        <v>22</v>
      </c>
      <c r="C69" s="60" t="s">
        <v>32</v>
      </c>
      <c r="D69" s="61">
        <f>SUM(D62:D68)</f>
        <v>457.6</v>
      </c>
      <c r="E69" s="63" t="s">
        <v>22</v>
      </c>
    </row>
    <row r="70" spans="1:5" ht="13.5" thickBot="1" x14ac:dyDescent="0.25">
      <c r="A70" s="94"/>
      <c r="B70" s="95"/>
      <c r="C70" s="95"/>
      <c r="D70" s="95"/>
      <c r="E70" s="96"/>
    </row>
    <row r="71" spans="1:5" ht="12.75" customHeight="1" thickBot="1" x14ac:dyDescent="0.25">
      <c r="A71" s="97" t="s">
        <v>110</v>
      </c>
      <c r="B71" s="84" t="s">
        <v>22</v>
      </c>
      <c r="C71" s="84" t="s">
        <v>111</v>
      </c>
      <c r="D71" s="98">
        <f>SUM(D12,D59,D69)</f>
        <v>14301.820000000002</v>
      </c>
      <c r="E71" s="87" t="s">
        <v>22</v>
      </c>
    </row>
    <row r="72" spans="1:5" ht="13.5" thickBot="1" x14ac:dyDescent="0.25">
      <c r="A72" s="99"/>
      <c r="B72" s="100"/>
      <c r="C72" s="100"/>
      <c r="D72" s="100"/>
      <c r="E72" s="101"/>
    </row>
    <row r="73" spans="1:5" x14ac:dyDescent="0.2">
      <c r="A73" s="48" t="s">
        <v>112</v>
      </c>
      <c r="B73" s="41" t="s">
        <v>136</v>
      </c>
      <c r="C73" s="41" t="s">
        <v>23</v>
      </c>
      <c r="D73" s="41" t="s">
        <v>24</v>
      </c>
      <c r="E73" s="42" t="s">
        <v>25</v>
      </c>
    </row>
    <row r="74" spans="1:5" ht="12.75" customHeight="1" x14ac:dyDescent="0.2">
      <c r="A74" s="49" t="s">
        <v>133</v>
      </c>
      <c r="B74" s="143">
        <f>'Quadro resumo'!C31</f>
        <v>0</v>
      </c>
      <c r="C74" s="202" t="s">
        <v>113</v>
      </c>
      <c r="D74" s="91">
        <f>TRUNC(B74*$D$71,2)</f>
        <v>0</v>
      </c>
      <c r="E74" s="102" t="s">
        <v>22</v>
      </c>
    </row>
    <row r="75" spans="1:5" x14ac:dyDescent="0.2">
      <c r="A75" s="49" t="s">
        <v>15</v>
      </c>
      <c r="B75" s="143">
        <f>'Quadro resumo'!C32</f>
        <v>0</v>
      </c>
      <c r="C75" s="216"/>
      <c r="D75" s="91">
        <f>TRUNC(B75*$D$71,2)</f>
        <v>0</v>
      </c>
      <c r="E75" s="102" t="s">
        <v>22</v>
      </c>
    </row>
    <row r="76" spans="1:5" ht="13.5" thickBot="1" x14ac:dyDescent="0.25">
      <c r="A76" s="59" t="s">
        <v>114</v>
      </c>
      <c r="B76" s="144">
        <f>SUM(B74:B75)</f>
        <v>0</v>
      </c>
      <c r="C76" s="60" t="s">
        <v>32</v>
      </c>
      <c r="D76" s="61">
        <f>SUM(D74:D75)</f>
        <v>0</v>
      </c>
      <c r="E76" s="63" t="s">
        <v>22</v>
      </c>
    </row>
    <row r="77" spans="1:5" ht="13.5" thickBot="1" x14ac:dyDescent="0.25">
      <c r="A77" s="103"/>
      <c r="B77" s="16"/>
      <c r="C77" s="16"/>
      <c r="D77" s="16"/>
      <c r="E77" s="47"/>
    </row>
    <row r="78" spans="1:5" x14ac:dyDescent="0.2">
      <c r="A78" s="104" t="s">
        <v>115</v>
      </c>
      <c r="B78" s="41" t="s">
        <v>136</v>
      </c>
      <c r="C78" s="41" t="s">
        <v>23</v>
      </c>
      <c r="D78" s="41" t="s">
        <v>24</v>
      </c>
      <c r="E78" s="42" t="s">
        <v>25</v>
      </c>
    </row>
    <row r="79" spans="1:5" x14ac:dyDescent="0.2">
      <c r="A79" s="49" t="s">
        <v>17</v>
      </c>
      <c r="B79" s="136">
        <f>'Quadro resumo'!C39</f>
        <v>0</v>
      </c>
      <c r="C79" s="202" t="s">
        <v>195</v>
      </c>
      <c r="D79" s="73">
        <f>TRUNC((($D$71+$D$76)/(1-(($B$79+$B$80+$B$81+$B$82))))*(B79),2)</f>
        <v>0</v>
      </c>
      <c r="E79" s="102" t="s">
        <v>22</v>
      </c>
    </row>
    <row r="80" spans="1:5" x14ac:dyDescent="0.2">
      <c r="A80" s="49" t="s">
        <v>18</v>
      </c>
      <c r="B80" s="136">
        <f>'Quadro resumo'!C40</f>
        <v>0</v>
      </c>
      <c r="C80" s="203"/>
      <c r="D80" s="73">
        <f>TRUNC((($D$71+$D$76)/(1-(($B$79+$B$80+$B$81+$B$82))))*(B80),2)</f>
        <v>0</v>
      </c>
      <c r="E80" s="102" t="s">
        <v>22</v>
      </c>
    </row>
    <row r="81" spans="1:5" x14ac:dyDescent="0.2">
      <c r="A81" s="49" t="s">
        <v>19</v>
      </c>
      <c r="B81" s="136">
        <f>'Quadro resumo'!C41</f>
        <v>0</v>
      </c>
      <c r="C81" s="203"/>
      <c r="D81" s="73">
        <f>TRUNC((($D$71+$D$76)/(1-(($B$79+$B$80+$B$81+$B$82))))*(B81),2)</f>
        <v>0</v>
      </c>
      <c r="E81" s="102" t="s">
        <v>22</v>
      </c>
    </row>
    <row r="82" spans="1:5" x14ac:dyDescent="0.2">
      <c r="A82" s="53" t="s">
        <v>187</v>
      </c>
      <c r="B82" s="189">
        <v>4.4999999999999998E-2</v>
      </c>
      <c r="C82" s="204"/>
      <c r="D82" s="73">
        <f>TRUNC((($D$71+$D$76)/(1-(($B$79+$B$80+$B$81+$B$82))))*(B82),2)</f>
        <v>673.9</v>
      </c>
      <c r="E82" s="190"/>
    </row>
    <row r="83" spans="1:5" ht="13.5" thickBot="1" x14ac:dyDescent="0.25">
      <c r="A83" s="59" t="s">
        <v>117</v>
      </c>
      <c r="B83" s="141">
        <f>SUM(B79:B82)</f>
        <v>4.4999999999999998E-2</v>
      </c>
      <c r="C83" s="60" t="s">
        <v>32</v>
      </c>
      <c r="D83" s="61">
        <f>SUM(D79:D82)</f>
        <v>673.9</v>
      </c>
      <c r="E83" s="63" t="s">
        <v>22</v>
      </c>
    </row>
    <row r="84" spans="1:5" ht="13.5" thickBot="1" x14ac:dyDescent="0.25">
      <c r="A84" s="46"/>
      <c r="B84" s="16"/>
      <c r="C84" s="16"/>
      <c r="D84" s="16"/>
      <c r="E84" s="47"/>
    </row>
    <row r="85" spans="1:5" ht="13.5" thickBot="1" x14ac:dyDescent="0.25">
      <c r="A85" s="105" t="s">
        <v>118</v>
      </c>
      <c r="B85" s="106"/>
      <c r="C85" s="41" t="s">
        <v>23</v>
      </c>
      <c r="D85" s="106" t="s">
        <v>119</v>
      </c>
      <c r="E85" s="42" t="s">
        <v>120</v>
      </c>
    </row>
    <row r="86" spans="1:5" ht="13.5" thickBot="1" x14ac:dyDescent="0.25">
      <c r="A86" s="107"/>
      <c r="B86" s="108"/>
      <c r="C86" s="108" t="s">
        <v>121</v>
      </c>
      <c r="D86" s="109">
        <f>SUM(D71,D76,D83)</f>
        <v>14975.720000000001</v>
      </c>
      <c r="E86" s="110">
        <f>D86*12</f>
        <v>179708.64</v>
      </c>
    </row>
  </sheetData>
  <sheetProtection algorithmName="SHA-512" hashValue="bnFcHtK/oKMYD9MYlYf3AIW7IhezcfNwGwGXGUGvKjUP6uxfaqTios8jocTIxlhjp99QX4vh8jt5m69hcI6bHQ==" saltValue="KEWNqZ7rlOdO5Gr36IS0vQ==" spinCount="100000" sheet="1" objects="1" scenarios="1"/>
  <mergeCells count="6">
    <mergeCell ref="C79:C82"/>
    <mergeCell ref="A1:E1"/>
    <mergeCell ref="A3:E3"/>
    <mergeCell ref="A45:B45"/>
    <mergeCell ref="A54:E54"/>
    <mergeCell ref="C74:C7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D6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workbookViewId="0">
      <selection sqref="A1:E1"/>
    </sheetView>
  </sheetViews>
  <sheetFormatPr defaultRowHeight="12.75" x14ac:dyDescent="0.2"/>
  <cols>
    <col min="1" max="1" width="75.5703125" style="31" customWidth="1"/>
    <col min="2" max="2" width="16.85546875" style="31" bestFit="1" customWidth="1"/>
    <col min="3" max="3" width="41.85546875" style="31" customWidth="1"/>
    <col min="4" max="4" width="13.140625" style="31" bestFit="1" customWidth="1"/>
    <col min="5" max="5" width="41.42578125" style="31" bestFit="1" customWidth="1"/>
    <col min="6" max="256" width="9.140625" style="31"/>
    <col min="257" max="257" width="75.5703125" style="31" customWidth="1"/>
    <col min="258" max="258" width="16.85546875" style="31" bestFit="1" customWidth="1"/>
    <col min="259" max="259" width="40" style="31" customWidth="1"/>
    <col min="260" max="260" width="13.140625" style="31" bestFit="1" customWidth="1"/>
    <col min="261" max="261" width="44.5703125" style="31" bestFit="1" customWidth="1"/>
    <col min="262" max="512" width="9.140625" style="31"/>
    <col min="513" max="513" width="75.5703125" style="31" customWidth="1"/>
    <col min="514" max="514" width="16.85546875" style="31" bestFit="1" customWidth="1"/>
    <col min="515" max="515" width="40" style="31" customWidth="1"/>
    <col min="516" max="516" width="13.140625" style="31" bestFit="1" customWidth="1"/>
    <col min="517" max="517" width="44.5703125" style="31" bestFit="1" customWidth="1"/>
    <col min="518" max="768" width="9.140625" style="31"/>
    <col min="769" max="769" width="75.5703125" style="31" customWidth="1"/>
    <col min="770" max="770" width="16.85546875" style="31" bestFit="1" customWidth="1"/>
    <col min="771" max="771" width="40" style="31" customWidth="1"/>
    <col min="772" max="772" width="13.140625" style="31" bestFit="1" customWidth="1"/>
    <col min="773" max="773" width="44.5703125" style="31" bestFit="1" customWidth="1"/>
    <col min="774" max="1024" width="9.140625" style="31"/>
    <col min="1025" max="1025" width="75.5703125" style="31" customWidth="1"/>
    <col min="1026" max="1026" width="16.85546875" style="31" bestFit="1" customWidth="1"/>
    <col min="1027" max="1027" width="40" style="31" customWidth="1"/>
    <col min="1028" max="1028" width="13.140625" style="31" bestFit="1" customWidth="1"/>
    <col min="1029" max="1029" width="44.5703125" style="31" bestFit="1" customWidth="1"/>
    <col min="1030" max="1280" width="9.140625" style="31"/>
    <col min="1281" max="1281" width="75.5703125" style="31" customWidth="1"/>
    <col min="1282" max="1282" width="16.85546875" style="31" bestFit="1" customWidth="1"/>
    <col min="1283" max="1283" width="40" style="31" customWidth="1"/>
    <col min="1284" max="1284" width="13.140625" style="31" bestFit="1" customWidth="1"/>
    <col min="1285" max="1285" width="44.5703125" style="31" bestFit="1" customWidth="1"/>
    <col min="1286" max="1536" width="9.140625" style="31"/>
    <col min="1537" max="1537" width="75.5703125" style="31" customWidth="1"/>
    <col min="1538" max="1538" width="16.85546875" style="31" bestFit="1" customWidth="1"/>
    <col min="1539" max="1539" width="40" style="31" customWidth="1"/>
    <col min="1540" max="1540" width="13.140625" style="31" bestFit="1" customWidth="1"/>
    <col min="1541" max="1541" width="44.5703125" style="31" bestFit="1" customWidth="1"/>
    <col min="1542" max="1792" width="9.140625" style="31"/>
    <col min="1793" max="1793" width="75.5703125" style="31" customWidth="1"/>
    <col min="1794" max="1794" width="16.85546875" style="31" bestFit="1" customWidth="1"/>
    <col min="1795" max="1795" width="40" style="31" customWidth="1"/>
    <col min="1796" max="1796" width="13.140625" style="31" bestFit="1" customWidth="1"/>
    <col min="1797" max="1797" width="44.5703125" style="31" bestFit="1" customWidth="1"/>
    <col min="1798" max="2048" width="9.140625" style="31"/>
    <col min="2049" max="2049" width="75.5703125" style="31" customWidth="1"/>
    <col min="2050" max="2050" width="16.85546875" style="31" bestFit="1" customWidth="1"/>
    <col min="2051" max="2051" width="40" style="31" customWidth="1"/>
    <col min="2052" max="2052" width="13.140625" style="31" bestFit="1" customWidth="1"/>
    <col min="2053" max="2053" width="44.5703125" style="31" bestFit="1" customWidth="1"/>
    <col min="2054" max="2304" width="9.140625" style="31"/>
    <col min="2305" max="2305" width="75.5703125" style="31" customWidth="1"/>
    <col min="2306" max="2306" width="16.85546875" style="31" bestFit="1" customWidth="1"/>
    <col min="2307" max="2307" width="40" style="31" customWidth="1"/>
    <col min="2308" max="2308" width="13.140625" style="31" bestFit="1" customWidth="1"/>
    <col min="2309" max="2309" width="44.5703125" style="31" bestFit="1" customWidth="1"/>
    <col min="2310" max="2560" width="9.140625" style="31"/>
    <col min="2561" max="2561" width="75.5703125" style="31" customWidth="1"/>
    <col min="2562" max="2562" width="16.85546875" style="31" bestFit="1" customWidth="1"/>
    <col min="2563" max="2563" width="40" style="31" customWidth="1"/>
    <col min="2564" max="2564" width="13.140625" style="31" bestFit="1" customWidth="1"/>
    <col min="2565" max="2565" width="44.5703125" style="31" bestFit="1" customWidth="1"/>
    <col min="2566" max="2816" width="9.140625" style="31"/>
    <col min="2817" max="2817" width="75.5703125" style="31" customWidth="1"/>
    <col min="2818" max="2818" width="16.85546875" style="31" bestFit="1" customWidth="1"/>
    <col min="2819" max="2819" width="40" style="31" customWidth="1"/>
    <col min="2820" max="2820" width="13.140625" style="31" bestFit="1" customWidth="1"/>
    <col min="2821" max="2821" width="44.5703125" style="31" bestFit="1" customWidth="1"/>
    <col min="2822" max="3072" width="9.140625" style="31"/>
    <col min="3073" max="3073" width="75.5703125" style="31" customWidth="1"/>
    <col min="3074" max="3074" width="16.85546875" style="31" bestFit="1" customWidth="1"/>
    <col min="3075" max="3075" width="40" style="31" customWidth="1"/>
    <col min="3076" max="3076" width="13.140625" style="31" bestFit="1" customWidth="1"/>
    <col min="3077" max="3077" width="44.5703125" style="31" bestFit="1" customWidth="1"/>
    <col min="3078" max="3328" width="9.140625" style="31"/>
    <col min="3329" max="3329" width="75.5703125" style="31" customWidth="1"/>
    <col min="3330" max="3330" width="16.85546875" style="31" bestFit="1" customWidth="1"/>
    <col min="3331" max="3331" width="40" style="31" customWidth="1"/>
    <col min="3332" max="3332" width="13.140625" style="31" bestFit="1" customWidth="1"/>
    <col min="3333" max="3333" width="44.5703125" style="31" bestFit="1" customWidth="1"/>
    <col min="3334" max="3584" width="9.140625" style="31"/>
    <col min="3585" max="3585" width="75.5703125" style="31" customWidth="1"/>
    <col min="3586" max="3586" width="16.85546875" style="31" bestFit="1" customWidth="1"/>
    <col min="3587" max="3587" width="40" style="31" customWidth="1"/>
    <col min="3588" max="3588" width="13.140625" style="31" bestFit="1" customWidth="1"/>
    <col min="3589" max="3589" width="44.5703125" style="31" bestFit="1" customWidth="1"/>
    <col min="3590" max="3840" width="9.140625" style="31"/>
    <col min="3841" max="3841" width="75.5703125" style="31" customWidth="1"/>
    <col min="3842" max="3842" width="16.85546875" style="31" bestFit="1" customWidth="1"/>
    <col min="3843" max="3843" width="40" style="31" customWidth="1"/>
    <col min="3844" max="3844" width="13.140625" style="31" bestFit="1" customWidth="1"/>
    <col min="3845" max="3845" width="44.5703125" style="31" bestFit="1" customWidth="1"/>
    <col min="3846" max="4096" width="9.140625" style="31"/>
    <col min="4097" max="4097" width="75.5703125" style="31" customWidth="1"/>
    <col min="4098" max="4098" width="16.85546875" style="31" bestFit="1" customWidth="1"/>
    <col min="4099" max="4099" width="40" style="31" customWidth="1"/>
    <col min="4100" max="4100" width="13.140625" style="31" bestFit="1" customWidth="1"/>
    <col min="4101" max="4101" width="44.5703125" style="31" bestFit="1" customWidth="1"/>
    <col min="4102" max="4352" width="9.140625" style="31"/>
    <col min="4353" max="4353" width="75.5703125" style="31" customWidth="1"/>
    <col min="4354" max="4354" width="16.85546875" style="31" bestFit="1" customWidth="1"/>
    <col min="4355" max="4355" width="40" style="31" customWidth="1"/>
    <col min="4356" max="4356" width="13.140625" style="31" bestFit="1" customWidth="1"/>
    <col min="4357" max="4357" width="44.5703125" style="31" bestFit="1" customWidth="1"/>
    <col min="4358" max="4608" width="9.140625" style="31"/>
    <col min="4609" max="4609" width="75.5703125" style="31" customWidth="1"/>
    <col min="4610" max="4610" width="16.85546875" style="31" bestFit="1" customWidth="1"/>
    <col min="4611" max="4611" width="40" style="31" customWidth="1"/>
    <col min="4612" max="4612" width="13.140625" style="31" bestFit="1" customWidth="1"/>
    <col min="4613" max="4613" width="44.5703125" style="31" bestFit="1" customWidth="1"/>
    <col min="4614" max="4864" width="9.140625" style="31"/>
    <col min="4865" max="4865" width="75.5703125" style="31" customWidth="1"/>
    <col min="4866" max="4866" width="16.85546875" style="31" bestFit="1" customWidth="1"/>
    <col min="4867" max="4867" width="40" style="31" customWidth="1"/>
    <col min="4868" max="4868" width="13.140625" style="31" bestFit="1" customWidth="1"/>
    <col min="4869" max="4869" width="44.5703125" style="31" bestFit="1" customWidth="1"/>
    <col min="4870" max="5120" width="9.140625" style="31"/>
    <col min="5121" max="5121" width="75.5703125" style="31" customWidth="1"/>
    <col min="5122" max="5122" width="16.85546875" style="31" bestFit="1" customWidth="1"/>
    <col min="5123" max="5123" width="40" style="31" customWidth="1"/>
    <col min="5124" max="5124" width="13.140625" style="31" bestFit="1" customWidth="1"/>
    <col min="5125" max="5125" width="44.5703125" style="31" bestFit="1" customWidth="1"/>
    <col min="5126" max="5376" width="9.140625" style="31"/>
    <col min="5377" max="5377" width="75.5703125" style="31" customWidth="1"/>
    <col min="5378" max="5378" width="16.85546875" style="31" bestFit="1" customWidth="1"/>
    <col min="5379" max="5379" width="40" style="31" customWidth="1"/>
    <col min="5380" max="5380" width="13.140625" style="31" bestFit="1" customWidth="1"/>
    <col min="5381" max="5381" width="44.5703125" style="31" bestFit="1" customWidth="1"/>
    <col min="5382" max="5632" width="9.140625" style="31"/>
    <col min="5633" max="5633" width="75.5703125" style="31" customWidth="1"/>
    <col min="5634" max="5634" width="16.85546875" style="31" bestFit="1" customWidth="1"/>
    <col min="5635" max="5635" width="40" style="31" customWidth="1"/>
    <col min="5636" max="5636" width="13.140625" style="31" bestFit="1" customWidth="1"/>
    <col min="5637" max="5637" width="44.5703125" style="31" bestFit="1" customWidth="1"/>
    <col min="5638" max="5888" width="9.140625" style="31"/>
    <col min="5889" max="5889" width="75.5703125" style="31" customWidth="1"/>
    <col min="5890" max="5890" width="16.85546875" style="31" bestFit="1" customWidth="1"/>
    <col min="5891" max="5891" width="40" style="31" customWidth="1"/>
    <col min="5892" max="5892" width="13.140625" style="31" bestFit="1" customWidth="1"/>
    <col min="5893" max="5893" width="44.5703125" style="31" bestFit="1" customWidth="1"/>
    <col min="5894" max="6144" width="9.140625" style="31"/>
    <col min="6145" max="6145" width="75.5703125" style="31" customWidth="1"/>
    <col min="6146" max="6146" width="16.85546875" style="31" bestFit="1" customWidth="1"/>
    <col min="6147" max="6147" width="40" style="31" customWidth="1"/>
    <col min="6148" max="6148" width="13.140625" style="31" bestFit="1" customWidth="1"/>
    <col min="6149" max="6149" width="44.5703125" style="31" bestFit="1" customWidth="1"/>
    <col min="6150" max="6400" width="9.140625" style="31"/>
    <col min="6401" max="6401" width="75.5703125" style="31" customWidth="1"/>
    <col min="6402" max="6402" width="16.85546875" style="31" bestFit="1" customWidth="1"/>
    <col min="6403" max="6403" width="40" style="31" customWidth="1"/>
    <col min="6404" max="6404" width="13.140625" style="31" bestFit="1" customWidth="1"/>
    <col min="6405" max="6405" width="44.5703125" style="31" bestFit="1" customWidth="1"/>
    <col min="6406" max="6656" width="9.140625" style="31"/>
    <col min="6657" max="6657" width="75.5703125" style="31" customWidth="1"/>
    <col min="6658" max="6658" width="16.85546875" style="31" bestFit="1" customWidth="1"/>
    <col min="6659" max="6659" width="40" style="31" customWidth="1"/>
    <col min="6660" max="6660" width="13.140625" style="31" bestFit="1" customWidth="1"/>
    <col min="6661" max="6661" width="44.5703125" style="31" bestFit="1" customWidth="1"/>
    <col min="6662" max="6912" width="9.140625" style="31"/>
    <col min="6913" max="6913" width="75.5703125" style="31" customWidth="1"/>
    <col min="6914" max="6914" width="16.85546875" style="31" bestFit="1" customWidth="1"/>
    <col min="6915" max="6915" width="40" style="31" customWidth="1"/>
    <col min="6916" max="6916" width="13.140625" style="31" bestFit="1" customWidth="1"/>
    <col min="6917" max="6917" width="44.5703125" style="31" bestFit="1" customWidth="1"/>
    <col min="6918" max="7168" width="9.140625" style="31"/>
    <col min="7169" max="7169" width="75.5703125" style="31" customWidth="1"/>
    <col min="7170" max="7170" width="16.85546875" style="31" bestFit="1" customWidth="1"/>
    <col min="7171" max="7171" width="40" style="31" customWidth="1"/>
    <col min="7172" max="7172" width="13.140625" style="31" bestFit="1" customWidth="1"/>
    <col min="7173" max="7173" width="44.5703125" style="31" bestFit="1" customWidth="1"/>
    <col min="7174" max="7424" width="9.140625" style="31"/>
    <col min="7425" max="7425" width="75.5703125" style="31" customWidth="1"/>
    <col min="7426" max="7426" width="16.85546875" style="31" bestFit="1" customWidth="1"/>
    <col min="7427" max="7427" width="40" style="31" customWidth="1"/>
    <col min="7428" max="7428" width="13.140625" style="31" bestFit="1" customWidth="1"/>
    <col min="7429" max="7429" width="44.5703125" style="31" bestFit="1" customWidth="1"/>
    <col min="7430" max="7680" width="9.140625" style="31"/>
    <col min="7681" max="7681" width="75.5703125" style="31" customWidth="1"/>
    <col min="7682" max="7682" width="16.85546875" style="31" bestFit="1" customWidth="1"/>
    <col min="7683" max="7683" width="40" style="31" customWidth="1"/>
    <col min="7684" max="7684" width="13.140625" style="31" bestFit="1" customWidth="1"/>
    <col min="7685" max="7685" width="44.5703125" style="31" bestFit="1" customWidth="1"/>
    <col min="7686" max="7936" width="9.140625" style="31"/>
    <col min="7937" max="7937" width="75.5703125" style="31" customWidth="1"/>
    <col min="7938" max="7938" width="16.85546875" style="31" bestFit="1" customWidth="1"/>
    <col min="7939" max="7939" width="40" style="31" customWidth="1"/>
    <col min="7940" max="7940" width="13.140625" style="31" bestFit="1" customWidth="1"/>
    <col min="7941" max="7941" width="44.5703125" style="31" bestFit="1" customWidth="1"/>
    <col min="7942" max="8192" width="9.140625" style="31"/>
    <col min="8193" max="8193" width="75.5703125" style="31" customWidth="1"/>
    <col min="8194" max="8194" width="16.85546875" style="31" bestFit="1" customWidth="1"/>
    <col min="8195" max="8195" width="40" style="31" customWidth="1"/>
    <col min="8196" max="8196" width="13.140625" style="31" bestFit="1" customWidth="1"/>
    <col min="8197" max="8197" width="44.5703125" style="31" bestFit="1" customWidth="1"/>
    <col min="8198" max="8448" width="9.140625" style="31"/>
    <col min="8449" max="8449" width="75.5703125" style="31" customWidth="1"/>
    <col min="8450" max="8450" width="16.85546875" style="31" bestFit="1" customWidth="1"/>
    <col min="8451" max="8451" width="40" style="31" customWidth="1"/>
    <col min="8452" max="8452" width="13.140625" style="31" bestFit="1" customWidth="1"/>
    <col min="8453" max="8453" width="44.5703125" style="31" bestFit="1" customWidth="1"/>
    <col min="8454" max="8704" width="9.140625" style="31"/>
    <col min="8705" max="8705" width="75.5703125" style="31" customWidth="1"/>
    <col min="8706" max="8706" width="16.85546875" style="31" bestFit="1" customWidth="1"/>
    <col min="8707" max="8707" width="40" style="31" customWidth="1"/>
    <col min="8708" max="8708" width="13.140625" style="31" bestFit="1" customWidth="1"/>
    <col min="8709" max="8709" width="44.5703125" style="31" bestFit="1" customWidth="1"/>
    <col min="8710" max="8960" width="9.140625" style="31"/>
    <col min="8961" max="8961" width="75.5703125" style="31" customWidth="1"/>
    <col min="8962" max="8962" width="16.85546875" style="31" bestFit="1" customWidth="1"/>
    <col min="8963" max="8963" width="40" style="31" customWidth="1"/>
    <col min="8964" max="8964" width="13.140625" style="31" bestFit="1" customWidth="1"/>
    <col min="8965" max="8965" width="44.5703125" style="31" bestFit="1" customWidth="1"/>
    <col min="8966" max="9216" width="9.140625" style="31"/>
    <col min="9217" max="9217" width="75.5703125" style="31" customWidth="1"/>
    <col min="9218" max="9218" width="16.85546875" style="31" bestFit="1" customWidth="1"/>
    <col min="9219" max="9219" width="40" style="31" customWidth="1"/>
    <col min="9220" max="9220" width="13.140625" style="31" bestFit="1" customWidth="1"/>
    <col min="9221" max="9221" width="44.5703125" style="31" bestFit="1" customWidth="1"/>
    <col min="9222" max="9472" width="9.140625" style="31"/>
    <col min="9473" max="9473" width="75.5703125" style="31" customWidth="1"/>
    <col min="9474" max="9474" width="16.85546875" style="31" bestFit="1" customWidth="1"/>
    <col min="9475" max="9475" width="40" style="31" customWidth="1"/>
    <col min="9476" max="9476" width="13.140625" style="31" bestFit="1" customWidth="1"/>
    <col min="9477" max="9477" width="44.5703125" style="31" bestFit="1" customWidth="1"/>
    <col min="9478" max="9728" width="9.140625" style="31"/>
    <col min="9729" max="9729" width="75.5703125" style="31" customWidth="1"/>
    <col min="9730" max="9730" width="16.85546875" style="31" bestFit="1" customWidth="1"/>
    <col min="9731" max="9731" width="40" style="31" customWidth="1"/>
    <col min="9732" max="9732" width="13.140625" style="31" bestFit="1" customWidth="1"/>
    <col min="9733" max="9733" width="44.5703125" style="31" bestFit="1" customWidth="1"/>
    <col min="9734" max="9984" width="9.140625" style="31"/>
    <col min="9985" max="9985" width="75.5703125" style="31" customWidth="1"/>
    <col min="9986" max="9986" width="16.85546875" style="31" bestFit="1" customWidth="1"/>
    <col min="9987" max="9987" width="40" style="31" customWidth="1"/>
    <col min="9988" max="9988" width="13.140625" style="31" bestFit="1" customWidth="1"/>
    <col min="9989" max="9989" width="44.5703125" style="31" bestFit="1" customWidth="1"/>
    <col min="9990" max="10240" width="9.140625" style="31"/>
    <col min="10241" max="10241" width="75.5703125" style="31" customWidth="1"/>
    <col min="10242" max="10242" width="16.85546875" style="31" bestFit="1" customWidth="1"/>
    <col min="10243" max="10243" width="40" style="31" customWidth="1"/>
    <col min="10244" max="10244" width="13.140625" style="31" bestFit="1" customWidth="1"/>
    <col min="10245" max="10245" width="44.5703125" style="31" bestFit="1" customWidth="1"/>
    <col min="10246" max="10496" width="9.140625" style="31"/>
    <col min="10497" max="10497" width="75.5703125" style="31" customWidth="1"/>
    <col min="10498" max="10498" width="16.85546875" style="31" bestFit="1" customWidth="1"/>
    <col min="10499" max="10499" width="40" style="31" customWidth="1"/>
    <col min="10500" max="10500" width="13.140625" style="31" bestFit="1" customWidth="1"/>
    <col min="10501" max="10501" width="44.5703125" style="31" bestFit="1" customWidth="1"/>
    <col min="10502" max="10752" width="9.140625" style="31"/>
    <col min="10753" max="10753" width="75.5703125" style="31" customWidth="1"/>
    <col min="10754" max="10754" width="16.85546875" style="31" bestFit="1" customWidth="1"/>
    <col min="10755" max="10755" width="40" style="31" customWidth="1"/>
    <col min="10756" max="10756" width="13.140625" style="31" bestFit="1" customWidth="1"/>
    <col min="10757" max="10757" width="44.5703125" style="31" bestFit="1" customWidth="1"/>
    <col min="10758" max="11008" width="9.140625" style="31"/>
    <col min="11009" max="11009" width="75.5703125" style="31" customWidth="1"/>
    <col min="11010" max="11010" width="16.85546875" style="31" bestFit="1" customWidth="1"/>
    <col min="11011" max="11011" width="40" style="31" customWidth="1"/>
    <col min="11012" max="11012" width="13.140625" style="31" bestFit="1" customWidth="1"/>
    <col min="11013" max="11013" width="44.5703125" style="31" bestFit="1" customWidth="1"/>
    <col min="11014" max="11264" width="9.140625" style="31"/>
    <col min="11265" max="11265" width="75.5703125" style="31" customWidth="1"/>
    <col min="11266" max="11266" width="16.85546875" style="31" bestFit="1" customWidth="1"/>
    <col min="11267" max="11267" width="40" style="31" customWidth="1"/>
    <col min="11268" max="11268" width="13.140625" style="31" bestFit="1" customWidth="1"/>
    <col min="11269" max="11269" width="44.5703125" style="31" bestFit="1" customWidth="1"/>
    <col min="11270" max="11520" width="9.140625" style="31"/>
    <col min="11521" max="11521" width="75.5703125" style="31" customWidth="1"/>
    <col min="11522" max="11522" width="16.85546875" style="31" bestFit="1" customWidth="1"/>
    <col min="11523" max="11523" width="40" style="31" customWidth="1"/>
    <col min="11524" max="11524" width="13.140625" style="31" bestFit="1" customWidth="1"/>
    <col min="11525" max="11525" width="44.5703125" style="31" bestFit="1" customWidth="1"/>
    <col min="11526" max="11776" width="9.140625" style="31"/>
    <col min="11777" max="11777" width="75.5703125" style="31" customWidth="1"/>
    <col min="11778" max="11778" width="16.85546875" style="31" bestFit="1" customWidth="1"/>
    <col min="11779" max="11779" width="40" style="31" customWidth="1"/>
    <col min="11780" max="11780" width="13.140625" style="31" bestFit="1" customWidth="1"/>
    <col min="11781" max="11781" width="44.5703125" style="31" bestFit="1" customWidth="1"/>
    <col min="11782" max="12032" width="9.140625" style="31"/>
    <col min="12033" max="12033" width="75.5703125" style="31" customWidth="1"/>
    <col min="12034" max="12034" width="16.85546875" style="31" bestFit="1" customWidth="1"/>
    <col min="12035" max="12035" width="40" style="31" customWidth="1"/>
    <col min="12036" max="12036" width="13.140625" style="31" bestFit="1" customWidth="1"/>
    <col min="12037" max="12037" width="44.5703125" style="31" bestFit="1" customWidth="1"/>
    <col min="12038" max="12288" width="9.140625" style="31"/>
    <col min="12289" max="12289" width="75.5703125" style="31" customWidth="1"/>
    <col min="12290" max="12290" width="16.85546875" style="31" bestFit="1" customWidth="1"/>
    <col min="12291" max="12291" width="40" style="31" customWidth="1"/>
    <col min="12292" max="12292" width="13.140625" style="31" bestFit="1" customWidth="1"/>
    <col min="12293" max="12293" width="44.5703125" style="31" bestFit="1" customWidth="1"/>
    <col min="12294" max="12544" width="9.140625" style="31"/>
    <col min="12545" max="12545" width="75.5703125" style="31" customWidth="1"/>
    <col min="12546" max="12546" width="16.85546875" style="31" bestFit="1" customWidth="1"/>
    <col min="12547" max="12547" width="40" style="31" customWidth="1"/>
    <col min="12548" max="12548" width="13.140625" style="31" bestFit="1" customWidth="1"/>
    <col min="12549" max="12549" width="44.5703125" style="31" bestFit="1" customWidth="1"/>
    <col min="12550" max="12800" width="9.140625" style="31"/>
    <col min="12801" max="12801" width="75.5703125" style="31" customWidth="1"/>
    <col min="12802" max="12802" width="16.85546875" style="31" bestFit="1" customWidth="1"/>
    <col min="12803" max="12803" width="40" style="31" customWidth="1"/>
    <col min="12804" max="12804" width="13.140625" style="31" bestFit="1" customWidth="1"/>
    <col min="12805" max="12805" width="44.5703125" style="31" bestFit="1" customWidth="1"/>
    <col min="12806" max="13056" width="9.140625" style="31"/>
    <col min="13057" max="13057" width="75.5703125" style="31" customWidth="1"/>
    <col min="13058" max="13058" width="16.85546875" style="31" bestFit="1" customWidth="1"/>
    <col min="13059" max="13059" width="40" style="31" customWidth="1"/>
    <col min="13060" max="13060" width="13.140625" style="31" bestFit="1" customWidth="1"/>
    <col min="13061" max="13061" width="44.5703125" style="31" bestFit="1" customWidth="1"/>
    <col min="13062" max="13312" width="9.140625" style="31"/>
    <col min="13313" max="13313" width="75.5703125" style="31" customWidth="1"/>
    <col min="13314" max="13314" width="16.85546875" style="31" bestFit="1" customWidth="1"/>
    <col min="13315" max="13315" width="40" style="31" customWidth="1"/>
    <col min="13316" max="13316" width="13.140625" style="31" bestFit="1" customWidth="1"/>
    <col min="13317" max="13317" width="44.5703125" style="31" bestFit="1" customWidth="1"/>
    <col min="13318" max="13568" width="9.140625" style="31"/>
    <col min="13569" max="13569" width="75.5703125" style="31" customWidth="1"/>
    <col min="13570" max="13570" width="16.85546875" style="31" bestFit="1" customWidth="1"/>
    <col min="13571" max="13571" width="40" style="31" customWidth="1"/>
    <col min="13572" max="13572" width="13.140625" style="31" bestFit="1" customWidth="1"/>
    <col min="13573" max="13573" width="44.5703125" style="31" bestFit="1" customWidth="1"/>
    <col min="13574" max="13824" width="9.140625" style="31"/>
    <col min="13825" max="13825" width="75.5703125" style="31" customWidth="1"/>
    <col min="13826" max="13826" width="16.85546875" style="31" bestFit="1" customWidth="1"/>
    <col min="13827" max="13827" width="40" style="31" customWidth="1"/>
    <col min="13828" max="13828" width="13.140625" style="31" bestFit="1" customWidth="1"/>
    <col min="13829" max="13829" width="44.5703125" style="31" bestFit="1" customWidth="1"/>
    <col min="13830" max="14080" width="9.140625" style="31"/>
    <col min="14081" max="14081" width="75.5703125" style="31" customWidth="1"/>
    <col min="14082" max="14082" width="16.85546875" style="31" bestFit="1" customWidth="1"/>
    <col min="14083" max="14083" width="40" style="31" customWidth="1"/>
    <col min="14084" max="14084" width="13.140625" style="31" bestFit="1" customWidth="1"/>
    <col min="14085" max="14085" width="44.5703125" style="31" bestFit="1" customWidth="1"/>
    <col min="14086" max="14336" width="9.140625" style="31"/>
    <col min="14337" max="14337" width="75.5703125" style="31" customWidth="1"/>
    <col min="14338" max="14338" width="16.85546875" style="31" bestFit="1" customWidth="1"/>
    <col min="14339" max="14339" width="40" style="31" customWidth="1"/>
    <col min="14340" max="14340" width="13.140625" style="31" bestFit="1" customWidth="1"/>
    <col min="14341" max="14341" width="44.5703125" style="31" bestFit="1" customWidth="1"/>
    <col min="14342" max="14592" width="9.140625" style="31"/>
    <col min="14593" max="14593" width="75.5703125" style="31" customWidth="1"/>
    <col min="14594" max="14594" width="16.85546875" style="31" bestFit="1" customWidth="1"/>
    <col min="14595" max="14595" width="40" style="31" customWidth="1"/>
    <col min="14596" max="14596" width="13.140625" style="31" bestFit="1" customWidth="1"/>
    <col min="14597" max="14597" width="44.5703125" style="31" bestFit="1" customWidth="1"/>
    <col min="14598" max="14848" width="9.140625" style="31"/>
    <col min="14849" max="14849" width="75.5703125" style="31" customWidth="1"/>
    <col min="14850" max="14850" width="16.85546875" style="31" bestFit="1" customWidth="1"/>
    <col min="14851" max="14851" width="40" style="31" customWidth="1"/>
    <col min="14852" max="14852" width="13.140625" style="31" bestFit="1" customWidth="1"/>
    <col min="14853" max="14853" width="44.5703125" style="31" bestFit="1" customWidth="1"/>
    <col min="14854" max="15104" width="9.140625" style="31"/>
    <col min="15105" max="15105" width="75.5703125" style="31" customWidth="1"/>
    <col min="15106" max="15106" width="16.85546875" style="31" bestFit="1" customWidth="1"/>
    <col min="15107" max="15107" width="40" style="31" customWidth="1"/>
    <col min="15108" max="15108" width="13.140625" style="31" bestFit="1" customWidth="1"/>
    <col min="15109" max="15109" width="44.5703125" style="31" bestFit="1" customWidth="1"/>
    <col min="15110" max="15360" width="9.140625" style="31"/>
    <col min="15361" max="15361" width="75.5703125" style="31" customWidth="1"/>
    <col min="15362" max="15362" width="16.85546875" style="31" bestFit="1" customWidth="1"/>
    <col min="15363" max="15363" width="40" style="31" customWidth="1"/>
    <col min="15364" max="15364" width="13.140625" style="31" bestFit="1" customWidth="1"/>
    <col min="15365" max="15365" width="44.5703125" style="31" bestFit="1" customWidth="1"/>
    <col min="15366" max="15616" width="9.140625" style="31"/>
    <col min="15617" max="15617" width="75.5703125" style="31" customWidth="1"/>
    <col min="15618" max="15618" width="16.85546875" style="31" bestFit="1" customWidth="1"/>
    <col min="15619" max="15619" width="40" style="31" customWidth="1"/>
    <col min="15620" max="15620" width="13.140625" style="31" bestFit="1" customWidth="1"/>
    <col min="15621" max="15621" width="44.5703125" style="31" bestFit="1" customWidth="1"/>
    <col min="15622" max="15872" width="9.140625" style="31"/>
    <col min="15873" max="15873" width="75.5703125" style="31" customWidth="1"/>
    <col min="15874" max="15874" width="16.85546875" style="31" bestFit="1" customWidth="1"/>
    <col min="15875" max="15875" width="40" style="31" customWidth="1"/>
    <col min="15876" max="15876" width="13.140625" style="31" bestFit="1" customWidth="1"/>
    <col min="15877" max="15877" width="44.5703125" style="31" bestFit="1" customWidth="1"/>
    <col min="15878" max="16128" width="9.140625" style="31"/>
    <col min="16129" max="16129" width="75.5703125" style="31" customWidth="1"/>
    <col min="16130" max="16130" width="16.85546875" style="31" bestFit="1" customWidth="1"/>
    <col min="16131" max="16131" width="40" style="31" customWidth="1"/>
    <col min="16132" max="16132" width="13.140625" style="31" bestFit="1" customWidth="1"/>
    <col min="16133" max="16133" width="44.5703125" style="31" bestFit="1" customWidth="1"/>
    <col min="16134" max="16384" width="9.140625" style="31"/>
  </cols>
  <sheetData>
    <row r="1" spans="1:6" ht="20.25" thickBot="1" x14ac:dyDescent="0.25">
      <c r="A1" s="205" t="s">
        <v>181</v>
      </c>
      <c r="B1" s="206"/>
      <c r="C1" s="206"/>
      <c r="D1" s="206"/>
      <c r="E1" s="207"/>
    </row>
    <row r="2" spans="1:6" ht="20.25" thickBot="1" x14ac:dyDescent="0.25">
      <c r="A2" s="34"/>
      <c r="B2" s="35"/>
      <c r="C2" s="35"/>
      <c r="D2" s="35"/>
      <c r="E2" s="36"/>
    </row>
    <row r="3" spans="1:6" ht="15.75" thickBot="1" x14ac:dyDescent="0.25">
      <c r="A3" s="208" t="s">
        <v>128</v>
      </c>
      <c r="B3" s="209"/>
      <c r="C3" s="209"/>
      <c r="D3" s="209"/>
      <c r="E3" s="210"/>
    </row>
    <row r="4" spans="1:6" ht="20.25" thickBot="1" x14ac:dyDescent="0.25">
      <c r="A4" s="37"/>
      <c r="B4" s="38"/>
      <c r="C4" s="38"/>
      <c r="D4" s="38"/>
      <c r="E4" s="39"/>
    </row>
    <row r="5" spans="1:6" x14ac:dyDescent="0.2">
      <c r="A5" s="40" t="s">
        <v>21</v>
      </c>
      <c r="B5" s="41" t="s">
        <v>22</v>
      </c>
      <c r="C5" s="41" t="s">
        <v>23</v>
      </c>
      <c r="D5" s="41" t="s">
        <v>24</v>
      </c>
      <c r="E5" s="42" t="s">
        <v>25</v>
      </c>
    </row>
    <row r="6" spans="1:6" ht="13.5" thickBot="1" x14ac:dyDescent="0.25">
      <c r="A6" s="43" t="s">
        <v>165</v>
      </c>
      <c r="B6" s="44" t="s">
        <v>22</v>
      </c>
      <c r="C6" s="44" t="s">
        <v>159</v>
      </c>
      <c r="D6" s="151">
        <v>3908.38</v>
      </c>
      <c r="E6" s="45" t="s">
        <v>22</v>
      </c>
    </row>
    <row r="7" spans="1:6" ht="13.5" thickBot="1" x14ac:dyDescent="0.25">
      <c r="A7" s="46"/>
      <c r="B7" s="16"/>
      <c r="C7" s="16"/>
      <c r="D7" s="16"/>
      <c r="E7" s="47"/>
    </row>
    <row r="8" spans="1:6" x14ac:dyDescent="0.2">
      <c r="A8" s="48" t="s">
        <v>26</v>
      </c>
      <c r="B8" s="41" t="s">
        <v>27</v>
      </c>
      <c r="C8" s="41" t="s">
        <v>23</v>
      </c>
      <c r="D8" s="41" t="s">
        <v>24</v>
      </c>
      <c r="E8" s="42" t="s">
        <v>25</v>
      </c>
    </row>
    <row r="9" spans="1:6" x14ac:dyDescent="0.2">
      <c r="A9" s="133" t="s">
        <v>28</v>
      </c>
      <c r="B9" s="50" t="s">
        <v>22</v>
      </c>
      <c r="C9" s="21" t="s">
        <v>22</v>
      </c>
      <c r="D9" s="51">
        <f>TRUNC(D6,2)</f>
        <v>3908.38</v>
      </c>
      <c r="E9" s="52" t="s">
        <v>22</v>
      </c>
      <c r="F9" s="131"/>
    </row>
    <row r="10" spans="1:6" ht="25.5" x14ac:dyDescent="0.2">
      <c r="A10" s="150" t="s">
        <v>160</v>
      </c>
      <c r="B10" s="50">
        <v>16</v>
      </c>
      <c r="C10" s="50" t="s">
        <v>161</v>
      </c>
      <c r="D10" s="132">
        <f>TRUNC((D9*200%/200)*B10,2)</f>
        <v>625.34</v>
      </c>
      <c r="E10" s="56" t="s">
        <v>163</v>
      </c>
      <c r="F10" s="131"/>
    </row>
    <row r="11" spans="1:6" ht="25.5" x14ac:dyDescent="0.2">
      <c r="A11" s="53" t="s">
        <v>29</v>
      </c>
      <c r="B11" s="50" t="s">
        <v>22</v>
      </c>
      <c r="C11" s="149" t="s">
        <v>162</v>
      </c>
      <c r="D11" s="55">
        <f>TRUNC(D10*5/25,2)</f>
        <v>125.06</v>
      </c>
      <c r="E11" s="56" t="s">
        <v>30</v>
      </c>
    </row>
    <row r="12" spans="1:6" ht="13.5" thickBot="1" x14ac:dyDescent="0.25">
      <c r="A12" s="59" t="s">
        <v>31</v>
      </c>
      <c r="B12" s="60" t="s">
        <v>22</v>
      </c>
      <c r="C12" s="61" t="s">
        <v>32</v>
      </c>
      <c r="D12" s="62">
        <f>SUM(D9:D11)</f>
        <v>4658.7800000000007</v>
      </c>
      <c r="E12" s="63" t="s">
        <v>22</v>
      </c>
    </row>
    <row r="13" spans="1:6" ht="13.5" thickBot="1" x14ac:dyDescent="0.25">
      <c r="A13" s="46"/>
      <c r="B13" s="64"/>
      <c r="C13" s="23"/>
      <c r="D13" s="16"/>
      <c r="E13" s="47"/>
    </row>
    <row r="14" spans="1:6" x14ac:dyDescent="0.2">
      <c r="A14" s="48" t="s">
        <v>33</v>
      </c>
      <c r="B14" s="41" t="s">
        <v>136</v>
      </c>
      <c r="C14" s="41" t="s">
        <v>23</v>
      </c>
      <c r="D14" s="41" t="s">
        <v>24</v>
      </c>
      <c r="E14" s="42" t="s">
        <v>25</v>
      </c>
    </row>
    <row r="15" spans="1:6" x14ac:dyDescent="0.2">
      <c r="A15" s="65" t="s">
        <v>34</v>
      </c>
      <c r="B15" s="66"/>
      <c r="C15" s="67"/>
      <c r="D15" s="68"/>
      <c r="E15" s="69"/>
    </row>
    <row r="16" spans="1:6" x14ac:dyDescent="0.2">
      <c r="A16" s="133" t="s">
        <v>188</v>
      </c>
      <c r="B16" s="138">
        <v>0.08</v>
      </c>
      <c r="C16" s="21" t="s">
        <v>35</v>
      </c>
      <c r="D16" s="70">
        <f t="shared" ref="D16:D22" si="0">TRUNC((B16)*$D$12,2)</f>
        <v>372.7</v>
      </c>
      <c r="E16" s="71" t="s">
        <v>36</v>
      </c>
    </row>
    <row r="17" spans="1:6" x14ac:dyDescent="0.2">
      <c r="A17" s="133" t="s">
        <v>189</v>
      </c>
      <c r="B17" s="138">
        <v>1.4999999999999999E-2</v>
      </c>
      <c r="C17" s="21" t="s">
        <v>37</v>
      </c>
      <c r="D17" s="70">
        <f t="shared" si="0"/>
        <v>69.88</v>
      </c>
      <c r="E17" s="71" t="s">
        <v>38</v>
      </c>
    </row>
    <row r="18" spans="1:6" x14ac:dyDescent="0.2">
      <c r="A18" s="133" t="s">
        <v>190</v>
      </c>
      <c r="B18" s="138">
        <v>0.01</v>
      </c>
      <c r="C18" s="21" t="s">
        <v>39</v>
      </c>
      <c r="D18" s="70">
        <f t="shared" si="0"/>
        <v>46.58</v>
      </c>
      <c r="E18" s="71" t="s">
        <v>40</v>
      </c>
    </row>
    <row r="19" spans="1:6" x14ac:dyDescent="0.2">
      <c r="A19" s="133" t="s">
        <v>191</v>
      </c>
      <c r="B19" s="138">
        <v>2E-3</v>
      </c>
      <c r="C19" s="21" t="s">
        <v>41</v>
      </c>
      <c r="D19" s="70">
        <f t="shared" si="0"/>
        <v>9.31</v>
      </c>
      <c r="E19" s="71" t="s">
        <v>42</v>
      </c>
    </row>
    <row r="20" spans="1:6" x14ac:dyDescent="0.2">
      <c r="A20" s="133" t="s">
        <v>192</v>
      </c>
      <c r="B20" s="138">
        <v>6.0000000000000001E-3</v>
      </c>
      <c r="C20" s="21" t="s">
        <v>43</v>
      </c>
      <c r="D20" s="70">
        <f t="shared" si="0"/>
        <v>27.95</v>
      </c>
      <c r="E20" s="71" t="s">
        <v>44</v>
      </c>
    </row>
    <row r="21" spans="1:6" x14ac:dyDescent="0.2">
      <c r="A21" s="133" t="s">
        <v>193</v>
      </c>
      <c r="B21" s="138">
        <v>2.5000000000000001E-2</v>
      </c>
      <c r="C21" s="21" t="s">
        <v>45</v>
      </c>
      <c r="D21" s="70">
        <f t="shared" si="0"/>
        <v>116.46</v>
      </c>
      <c r="E21" s="71" t="s">
        <v>46</v>
      </c>
    </row>
    <row r="22" spans="1:6" x14ac:dyDescent="0.2">
      <c r="A22" s="134" t="s">
        <v>194</v>
      </c>
      <c r="B22" s="136">
        <f>'Quadro resumo'!C28</f>
        <v>0</v>
      </c>
      <c r="C22" s="21" t="s">
        <v>47</v>
      </c>
      <c r="D22" s="73">
        <f t="shared" si="0"/>
        <v>0</v>
      </c>
      <c r="E22" s="71" t="s">
        <v>48</v>
      </c>
    </row>
    <row r="23" spans="1:6" ht="13.5" thickBot="1" x14ac:dyDescent="0.25">
      <c r="A23" s="59" t="s">
        <v>49</v>
      </c>
      <c r="B23" s="141">
        <f>SUM(B16:B22)</f>
        <v>0.13800000000000001</v>
      </c>
      <c r="C23" s="60" t="s">
        <v>32</v>
      </c>
      <c r="D23" s="75">
        <f>SUM(D16:D22)</f>
        <v>642.88</v>
      </c>
      <c r="E23" s="63" t="s">
        <v>22</v>
      </c>
      <c r="F23" s="131"/>
    </row>
    <row r="24" spans="1:6" ht="13.5" thickBot="1" x14ac:dyDescent="0.25">
      <c r="A24" s="46"/>
      <c r="B24" s="16"/>
      <c r="C24" s="16"/>
      <c r="D24" s="16"/>
      <c r="E24" s="47"/>
    </row>
    <row r="25" spans="1:6" x14ac:dyDescent="0.2">
      <c r="A25" s="48" t="s">
        <v>50</v>
      </c>
      <c r="B25" s="41" t="s">
        <v>136</v>
      </c>
      <c r="C25" s="41" t="s">
        <v>23</v>
      </c>
      <c r="D25" s="41" t="s">
        <v>24</v>
      </c>
      <c r="E25" s="42" t="s">
        <v>25</v>
      </c>
    </row>
    <row r="26" spans="1:6" x14ac:dyDescent="0.2">
      <c r="A26" s="133" t="s">
        <v>51</v>
      </c>
      <c r="B26" s="140">
        <f>1/12</f>
        <v>8.3333333333333329E-2</v>
      </c>
      <c r="C26" s="21" t="s">
        <v>139</v>
      </c>
      <c r="D26" s="73">
        <f t="shared" ref="D26:D33" si="1">TRUNC((B26)*$D$12,2)</f>
        <v>388.23</v>
      </c>
      <c r="E26" s="71" t="s">
        <v>52</v>
      </c>
    </row>
    <row r="27" spans="1:6" x14ac:dyDescent="0.2">
      <c r="A27" s="133" t="s">
        <v>53</v>
      </c>
      <c r="B27" s="138">
        <f>((1+1/3)/12)</f>
        <v>0.1111111111111111</v>
      </c>
      <c r="C27" s="21" t="s">
        <v>140</v>
      </c>
      <c r="D27" s="73">
        <f t="shared" si="1"/>
        <v>517.64</v>
      </c>
      <c r="E27" s="71" t="s">
        <v>54</v>
      </c>
    </row>
    <row r="28" spans="1:6" x14ac:dyDescent="0.2">
      <c r="A28" s="49" t="s">
        <v>55</v>
      </c>
      <c r="B28" s="138">
        <f>((7/30)/12)</f>
        <v>1.9444444444444445E-2</v>
      </c>
      <c r="C28" s="21" t="s">
        <v>141</v>
      </c>
      <c r="D28" s="73">
        <f t="shared" si="1"/>
        <v>90.58</v>
      </c>
      <c r="E28" s="71" t="s">
        <v>56</v>
      </c>
    </row>
    <row r="29" spans="1:6" x14ac:dyDescent="0.2">
      <c r="A29" s="49" t="s">
        <v>57</v>
      </c>
      <c r="B29" s="138">
        <f>((5/30)/12)</f>
        <v>1.3888888888888888E-2</v>
      </c>
      <c r="C29" s="21" t="s">
        <v>142</v>
      </c>
      <c r="D29" s="73">
        <f t="shared" si="1"/>
        <v>64.7</v>
      </c>
      <c r="E29" s="71" t="s">
        <v>58</v>
      </c>
    </row>
    <row r="30" spans="1:6" x14ac:dyDescent="0.2">
      <c r="A30" s="49" t="s">
        <v>59</v>
      </c>
      <c r="B30" s="138">
        <f>((15/30)/12)*1%</f>
        <v>4.1666666666666664E-4</v>
      </c>
      <c r="C30" s="21" t="s">
        <v>144</v>
      </c>
      <c r="D30" s="73">
        <f t="shared" si="1"/>
        <v>1.94</v>
      </c>
      <c r="E30" s="71" t="s">
        <v>60</v>
      </c>
    </row>
    <row r="31" spans="1:6" x14ac:dyDescent="0.2">
      <c r="A31" s="49" t="s">
        <v>61</v>
      </c>
      <c r="B31" s="138">
        <f>(1/30)/12</f>
        <v>2.7777777777777779E-3</v>
      </c>
      <c r="C31" s="76" t="s">
        <v>143</v>
      </c>
      <c r="D31" s="73">
        <f t="shared" si="1"/>
        <v>12.94</v>
      </c>
      <c r="E31" s="71" t="s">
        <v>62</v>
      </c>
    </row>
    <row r="32" spans="1:6" ht="25.5" x14ac:dyDescent="0.2">
      <c r="A32" s="49" t="s">
        <v>63</v>
      </c>
      <c r="B32" s="138">
        <f>((1+1/3)/12)*1.5%*(4/12)</f>
        <v>5.5555555555555545E-4</v>
      </c>
      <c r="C32" s="57" t="s">
        <v>154</v>
      </c>
      <c r="D32" s="73">
        <f t="shared" si="1"/>
        <v>2.58</v>
      </c>
      <c r="E32" s="77" t="s">
        <v>64</v>
      </c>
    </row>
    <row r="33" spans="1:5" ht="14.25" x14ac:dyDescent="0.2">
      <c r="A33" s="49" t="s">
        <v>65</v>
      </c>
      <c r="B33" s="138">
        <f>((5/30)/12)*1.5%</f>
        <v>2.0833333333333332E-4</v>
      </c>
      <c r="C33" s="21" t="s">
        <v>147</v>
      </c>
      <c r="D33" s="73">
        <f t="shared" si="1"/>
        <v>0.97</v>
      </c>
      <c r="E33" s="71" t="s">
        <v>66</v>
      </c>
    </row>
    <row r="34" spans="1:5" ht="13.5" thickBot="1" x14ac:dyDescent="0.25">
      <c r="A34" s="59" t="s">
        <v>67</v>
      </c>
      <c r="B34" s="141">
        <f>SUM(B26:B33)</f>
        <v>0.23173611111111109</v>
      </c>
      <c r="C34" s="60" t="s">
        <v>32</v>
      </c>
      <c r="D34" s="61">
        <f>SUM(D26:D33)</f>
        <v>1079.5800000000002</v>
      </c>
      <c r="E34" s="63" t="s">
        <v>22</v>
      </c>
    </row>
    <row r="35" spans="1:5" ht="14.25" x14ac:dyDescent="0.2">
      <c r="A35" s="46" t="s">
        <v>68</v>
      </c>
      <c r="B35" s="16"/>
      <c r="C35" s="16" t="s">
        <v>69</v>
      </c>
      <c r="D35" s="16"/>
      <c r="E35" s="47"/>
    </row>
    <row r="36" spans="1:5" ht="14.25" x14ac:dyDescent="0.2">
      <c r="A36" s="46" t="s">
        <v>70</v>
      </c>
      <c r="B36" s="16"/>
      <c r="C36" s="16" t="s">
        <v>155</v>
      </c>
      <c r="D36" s="78"/>
      <c r="E36" s="47"/>
    </row>
    <row r="37" spans="1:5" ht="15" thickBot="1" x14ac:dyDescent="0.25">
      <c r="A37" s="46" t="s">
        <v>71</v>
      </c>
      <c r="B37" s="16"/>
      <c r="C37" s="16" t="s">
        <v>137</v>
      </c>
      <c r="D37" s="78"/>
      <c r="E37" s="47"/>
    </row>
    <row r="38" spans="1:5" x14ac:dyDescent="0.2">
      <c r="A38" s="48" t="s">
        <v>72</v>
      </c>
      <c r="B38" s="41" t="s">
        <v>136</v>
      </c>
      <c r="C38" s="41" t="s">
        <v>23</v>
      </c>
      <c r="D38" s="41" t="s">
        <v>24</v>
      </c>
      <c r="E38" s="42" t="s">
        <v>25</v>
      </c>
    </row>
    <row r="39" spans="1:5" x14ac:dyDescent="0.2">
      <c r="A39" s="49" t="s">
        <v>73</v>
      </c>
      <c r="B39" s="140">
        <f>25%*(1/12)</f>
        <v>2.0833333333333332E-2</v>
      </c>
      <c r="C39" s="21" t="s">
        <v>148</v>
      </c>
      <c r="D39" s="73">
        <f>TRUNC(B39*$D$12,2)</f>
        <v>97.05</v>
      </c>
      <c r="E39" s="71" t="s">
        <v>74</v>
      </c>
    </row>
    <row r="40" spans="1:5" x14ac:dyDescent="0.2">
      <c r="A40" s="49" t="s">
        <v>75</v>
      </c>
      <c r="B40" s="138">
        <f>25%*(1/12)</f>
        <v>2.0833333333333332E-2</v>
      </c>
      <c r="C40" s="21" t="s">
        <v>148</v>
      </c>
      <c r="D40" s="73">
        <f>TRUNC(B40*$D$12,2)</f>
        <v>97.05</v>
      </c>
      <c r="E40" s="71" t="s">
        <v>76</v>
      </c>
    </row>
    <row r="41" spans="1:5" x14ac:dyDescent="0.2">
      <c r="A41" s="49" t="s">
        <v>77</v>
      </c>
      <c r="B41" s="138">
        <f>40%*8%</f>
        <v>3.2000000000000001E-2</v>
      </c>
      <c r="C41" s="21" t="s">
        <v>145</v>
      </c>
      <c r="D41" s="73">
        <f>TRUNC(B41*$D$12,2)</f>
        <v>149.08000000000001</v>
      </c>
      <c r="E41" s="71" t="s">
        <v>78</v>
      </c>
    </row>
    <row r="42" spans="1:5" ht="14.25" x14ac:dyDescent="0.2">
      <c r="A42" s="49" t="s">
        <v>79</v>
      </c>
      <c r="B42" s="138">
        <f>10%*8%</f>
        <v>8.0000000000000002E-3</v>
      </c>
      <c r="C42" s="21" t="s">
        <v>146</v>
      </c>
      <c r="D42" s="73">
        <f>TRUNC(B42*$D$12,2)</f>
        <v>37.270000000000003</v>
      </c>
      <c r="E42" s="71" t="s">
        <v>80</v>
      </c>
    </row>
    <row r="43" spans="1:5" ht="13.5" thickBot="1" x14ac:dyDescent="0.25">
      <c r="A43" s="59" t="s">
        <v>81</v>
      </c>
      <c r="B43" s="137">
        <f>SUM(B39:B42)</f>
        <v>8.1666666666666665E-2</v>
      </c>
      <c r="C43" s="60" t="s">
        <v>32</v>
      </c>
      <c r="D43" s="61">
        <f>SUM(D39:D42)</f>
        <v>380.45</v>
      </c>
      <c r="E43" s="63" t="s">
        <v>22</v>
      </c>
    </row>
    <row r="44" spans="1:5" x14ac:dyDescent="0.2">
      <c r="A44" s="46" t="s">
        <v>82</v>
      </c>
      <c r="B44" s="16"/>
      <c r="C44" s="16" t="s">
        <v>83</v>
      </c>
      <c r="D44" s="16"/>
      <c r="E44" s="47"/>
    </row>
    <row r="45" spans="1:5" ht="27" customHeight="1" thickBot="1" x14ac:dyDescent="0.25">
      <c r="A45" s="211" t="s">
        <v>84</v>
      </c>
      <c r="B45" s="212"/>
      <c r="C45" s="16" t="s">
        <v>85</v>
      </c>
      <c r="D45" s="79"/>
      <c r="E45" s="80"/>
    </row>
    <row r="46" spans="1:5" x14ac:dyDescent="0.2">
      <c r="A46" s="48" t="s">
        <v>86</v>
      </c>
      <c r="B46" s="41" t="s">
        <v>136</v>
      </c>
      <c r="C46" s="41" t="s">
        <v>23</v>
      </c>
      <c r="D46" s="41" t="s">
        <v>24</v>
      </c>
      <c r="E46" s="42" t="s">
        <v>25</v>
      </c>
    </row>
    <row r="47" spans="1:5" x14ac:dyDescent="0.2">
      <c r="A47" s="49" t="s">
        <v>87</v>
      </c>
      <c r="B47" s="140">
        <f>B23*B34</f>
        <v>3.1979583333333332E-2</v>
      </c>
      <c r="C47" s="21" t="s">
        <v>138</v>
      </c>
      <c r="D47" s="73">
        <f>TRUNC((B47)*$D$12,2)</f>
        <v>148.97999999999999</v>
      </c>
      <c r="E47" s="52" t="s">
        <v>22</v>
      </c>
    </row>
    <row r="48" spans="1:5" ht="13.5" thickBot="1" x14ac:dyDescent="0.25">
      <c r="A48" s="59" t="s">
        <v>88</v>
      </c>
      <c r="B48" s="141">
        <f>B47</f>
        <v>3.1979583333333332E-2</v>
      </c>
      <c r="C48" s="60" t="s">
        <v>32</v>
      </c>
      <c r="D48" s="61">
        <f>D47</f>
        <v>148.97999999999999</v>
      </c>
      <c r="E48" s="63" t="s">
        <v>22</v>
      </c>
    </row>
    <row r="49" spans="1:5" ht="13.5" thickBot="1" x14ac:dyDescent="0.25">
      <c r="A49" s="46"/>
      <c r="B49" s="16"/>
      <c r="C49" s="16"/>
      <c r="D49" s="16"/>
      <c r="E49" s="47"/>
    </row>
    <row r="50" spans="1:5" x14ac:dyDescent="0.2">
      <c r="A50" s="48" t="s">
        <v>89</v>
      </c>
      <c r="B50" s="41" t="s">
        <v>136</v>
      </c>
      <c r="C50" s="41" t="s">
        <v>23</v>
      </c>
      <c r="D50" s="41" t="s">
        <v>24</v>
      </c>
      <c r="E50" s="42" t="s">
        <v>25</v>
      </c>
    </row>
    <row r="51" spans="1:5" x14ac:dyDescent="0.2">
      <c r="A51" s="81" t="s">
        <v>90</v>
      </c>
      <c r="B51" s="139">
        <f>(B16*B39)</f>
        <v>1.6666666666666666E-3</v>
      </c>
      <c r="C51" s="21" t="s">
        <v>91</v>
      </c>
      <c r="D51" s="73">
        <f>TRUNC((B51)*$D$12,2)</f>
        <v>7.76</v>
      </c>
      <c r="E51" s="71" t="s">
        <v>92</v>
      </c>
    </row>
    <row r="52" spans="1:5" ht="25.5" x14ac:dyDescent="0.2">
      <c r="A52" s="72" t="s">
        <v>93</v>
      </c>
      <c r="B52" s="138">
        <f>(B16*B30)</f>
        <v>3.3333333333333335E-5</v>
      </c>
      <c r="C52" s="21" t="s">
        <v>94</v>
      </c>
      <c r="D52" s="73">
        <f>TRUNC((B52)*$D$12,2)</f>
        <v>0.15</v>
      </c>
      <c r="E52" s="52" t="s">
        <v>22</v>
      </c>
    </row>
    <row r="53" spans="1:5" ht="13.5" thickBot="1" x14ac:dyDescent="0.25">
      <c r="A53" s="59" t="s">
        <v>95</v>
      </c>
      <c r="B53" s="141">
        <f>SUM(B51:B52)</f>
        <v>1.6999999999999999E-3</v>
      </c>
      <c r="C53" s="60" t="s">
        <v>32</v>
      </c>
      <c r="D53" s="75">
        <f>SUM(D51:D52)</f>
        <v>7.91</v>
      </c>
      <c r="E53" s="63" t="s">
        <v>22</v>
      </c>
    </row>
    <row r="54" spans="1:5" ht="27" customHeight="1" thickBot="1" x14ac:dyDescent="0.25">
      <c r="A54" s="213" t="s">
        <v>96</v>
      </c>
      <c r="B54" s="214"/>
      <c r="C54" s="214"/>
      <c r="D54" s="214"/>
      <c r="E54" s="215"/>
    </row>
    <row r="55" spans="1:5" x14ac:dyDescent="0.2">
      <c r="A55" s="48" t="s">
        <v>97</v>
      </c>
      <c r="B55" s="41" t="s">
        <v>136</v>
      </c>
      <c r="C55" s="41" t="s">
        <v>23</v>
      </c>
      <c r="D55" s="41" t="s">
        <v>24</v>
      </c>
      <c r="E55" s="42" t="s">
        <v>25</v>
      </c>
    </row>
    <row r="56" spans="1:5" ht="38.25" x14ac:dyDescent="0.2">
      <c r="A56" s="72" t="s">
        <v>98</v>
      </c>
      <c r="B56" s="82">
        <f>B23*(13/12)*(4/12)*1.5%</f>
        <v>7.474999999999999E-4</v>
      </c>
      <c r="C56" s="82" t="s">
        <v>157</v>
      </c>
      <c r="D56" s="73">
        <f>TRUNC((B56)*$D$12,2)</f>
        <v>3.48</v>
      </c>
      <c r="E56" s="77" t="s">
        <v>156</v>
      </c>
    </row>
    <row r="57" spans="1:5" ht="13.5" thickBot="1" x14ac:dyDescent="0.25">
      <c r="A57" s="59" t="s">
        <v>99</v>
      </c>
      <c r="B57" s="141">
        <f>B56</f>
        <v>7.474999999999999E-4</v>
      </c>
      <c r="C57" s="60" t="s">
        <v>32</v>
      </c>
      <c r="D57" s="61">
        <f>D56</f>
        <v>3.48</v>
      </c>
      <c r="E57" s="63" t="s">
        <v>22</v>
      </c>
    </row>
    <row r="58" spans="1:5" ht="13.5" thickBot="1" x14ac:dyDescent="0.25">
      <c r="A58" s="46"/>
      <c r="B58" s="16"/>
      <c r="C58" s="16"/>
      <c r="D58" s="16"/>
      <c r="E58" s="47"/>
    </row>
    <row r="59" spans="1:5" ht="13.5" thickBot="1" x14ac:dyDescent="0.25">
      <c r="A59" s="83" t="s">
        <v>100</v>
      </c>
      <c r="B59" s="142">
        <f>B23+B34+B43+B48+B53+B57</f>
        <v>0.48582986111111109</v>
      </c>
      <c r="C59" s="85" t="s">
        <v>32</v>
      </c>
      <c r="D59" s="86">
        <f>SUM(D23,D34,D43,D48,D53,D57)</f>
        <v>2263.2799999999997</v>
      </c>
      <c r="E59" s="87" t="s">
        <v>22</v>
      </c>
    </row>
    <row r="60" spans="1:5" ht="13.5" thickBot="1" x14ac:dyDescent="0.25">
      <c r="A60" s="46"/>
      <c r="B60" s="16"/>
      <c r="C60" s="16"/>
      <c r="D60" s="88"/>
      <c r="E60" s="47"/>
    </row>
    <row r="61" spans="1:5" x14ac:dyDescent="0.2">
      <c r="A61" s="48" t="s">
        <v>101</v>
      </c>
      <c r="B61" s="41" t="s">
        <v>24</v>
      </c>
      <c r="C61" s="41" t="s">
        <v>23</v>
      </c>
      <c r="D61" s="41" t="s">
        <v>24</v>
      </c>
      <c r="E61" s="42" t="s">
        <v>25</v>
      </c>
    </row>
    <row r="62" spans="1:5" ht="25.5" x14ac:dyDescent="0.2">
      <c r="A62" s="133" t="s">
        <v>102</v>
      </c>
      <c r="B62" s="90">
        <f>TRUNC(20.8*22,2)</f>
        <v>457.6</v>
      </c>
      <c r="C62" s="89" t="s">
        <v>178</v>
      </c>
      <c r="D62" s="51">
        <f>B62</f>
        <v>457.6</v>
      </c>
      <c r="E62" s="58" t="s">
        <v>179</v>
      </c>
    </row>
    <row r="63" spans="1:5" ht="25.5" customHeight="1" x14ac:dyDescent="0.2">
      <c r="A63" s="133" t="s">
        <v>103</v>
      </c>
      <c r="B63" s="90">
        <f>TRUNC(4.5*22*4,2)</f>
        <v>396</v>
      </c>
      <c r="C63" s="89" t="s">
        <v>167</v>
      </c>
      <c r="D63" s="51">
        <f t="shared" ref="D63:D65" si="2">B63</f>
        <v>396</v>
      </c>
      <c r="E63" s="58" t="s">
        <v>151</v>
      </c>
    </row>
    <row r="64" spans="1:5" x14ac:dyDescent="0.2">
      <c r="A64" s="145" t="s">
        <v>104</v>
      </c>
      <c r="B64" s="124">
        <f>'Quadro resumo'!C20*4</f>
        <v>0</v>
      </c>
      <c r="C64" s="21" t="str">
        <f>" Valor * 4"</f>
        <v xml:space="preserve"> Valor * 4</v>
      </c>
      <c r="D64" s="92">
        <f t="shared" si="2"/>
        <v>0</v>
      </c>
      <c r="E64" s="58" t="s">
        <v>164</v>
      </c>
    </row>
    <row r="65" spans="1:5" x14ac:dyDescent="0.2">
      <c r="A65" s="146" t="s">
        <v>127</v>
      </c>
      <c r="B65" s="124">
        <f>ROUNDUP(('Quadro resumo'!C21*4)/12,2)</f>
        <v>0</v>
      </c>
      <c r="C65" s="50" t="str">
        <f>"Valor * 4 / 12"</f>
        <v>Valor * 4 / 12</v>
      </c>
      <c r="D65" s="130">
        <f t="shared" si="2"/>
        <v>0</v>
      </c>
      <c r="E65" s="58" t="s">
        <v>164</v>
      </c>
    </row>
    <row r="66" spans="1:5" x14ac:dyDescent="0.2">
      <c r="A66" s="134" t="s">
        <v>105</v>
      </c>
      <c r="B66" s="124">
        <f>IF(B63&gt;=TRUNC(0.06*D9,2),TRUNC(-0.06*D9,2),-B63)</f>
        <v>-234.5</v>
      </c>
      <c r="C66" s="21" t="s">
        <v>106</v>
      </c>
      <c r="D66" s="70">
        <f>B66</f>
        <v>-234.5</v>
      </c>
      <c r="E66" s="93" t="s">
        <v>107</v>
      </c>
    </row>
    <row r="67" spans="1:5" ht="25.5" customHeight="1" x14ac:dyDescent="0.2">
      <c r="A67" s="135" t="s">
        <v>131</v>
      </c>
      <c r="B67" s="125">
        <f>ROUNDUP('Quadro resumo'!C16/12,2)</f>
        <v>0</v>
      </c>
      <c r="C67" s="50" t="s">
        <v>182</v>
      </c>
      <c r="D67" s="55">
        <f>B67</f>
        <v>0</v>
      </c>
      <c r="E67" s="56" t="s">
        <v>108</v>
      </c>
    </row>
    <row r="68" spans="1:5" ht="38.25" customHeight="1" x14ac:dyDescent="0.2">
      <c r="A68" s="135" t="s">
        <v>123</v>
      </c>
      <c r="B68" s="125">
        <f>TRUNC('Quadro resumo'!C25,2)</f>
        <v>0</v>
      </c>
      <c r="C68" s="50" t="s">
        <v>182</v>
      </c>
      <c r="D68" s="55">
        <f>B68</f>
        <v>0</v>
      </c>
      <c r="E68" s="56" t="s">
        <v>124</v>
      </c>
    </row>
    <row r="69" spans="1:5" ht="13.5" thickBot="1" x14ac:dyDescent="0.25">
      <c r="A69" s="59" t="s">
        <v>109</v>
      </c>
      <c r="B69" s="74" t="s">
        <v>22</v>
      </c>
      <c r="C69" s="60" t="s">
        <v>32</v>
      </c>
      <c r="D69" s="61">
        <f>SUM(D62:D68)</f>
        <v>619.1</v>
      </c>
      <c r="E69" s="63" t="s">
        <v>22</v>
      </c>
    </row>
    <row r="70" spans="1:5" ht="13.5" thickBot="1" x14ac:dyDescent="0.25">
      <c r="A70" s="94"/>
      <c r="B70" s="95"/>
      <c r="C70" s="95"/>
      <c r="D70" s="95"/>
      <c r="E70" s="96"/>
    </row>
    <row r="71" spans="1:5" ht="12.75" customHeight="1" thickBot="1" x14ac:dyDescent="0.25">
      <c r="A71" s="97" t="s">
        <v>110</v>
      </c>
      <c r="B71" s="84" t="s">
        <v>22</v>
      </c>
      <c r="C71" s="84" t="s">
        <v>111</v>
      </c>
      <c r="D71" s="98">
        <f>SUM(D12,D59,D69)</f>
        <v>7541.1600000000008</v>
      </c>
      <c r="E71" s="87" t="s">
        <v>22</v>
      </c>
    </row>
    <row r="72" spans="1:5" ht="13.5" thickBot="1" x14ac:dyDescent="0.25">
      <c r="A72" s="99"/>
      <c r="B72" s="100"/>
      <c r="C72" s="100"/>
      <c r="D72" s="100"/>
      <c r="E72" s="101"/>
    </row>
    <row r="73" spans="1:5" x14ac:dyDescent="0.2">
      <c r="A73" s="48" t="s">
        <v>112</v>
      </c>
      <c r="B73" s="41" t="s">
        <v>136</v>
      </c>
      <c r="C73" s="41" t="s">
        <v>23</v>
      </c>
      <c r="D73" s="41" t="s">
        <v>24</v>
      </c>
      <c r="E73" s="42" t="s">
        <v>25</v>
      </c>
    </row>
    <row r="74" spans="1:5" ht="12.75" customHeight="1" x14ac:dyDescent="0.2">
      <c r="A74" s="49" t="s">
        <v>133</v>
      </c>
      <c r="B74" s="143">
        <f>'Quadro resumo'!C31</f>
        <v>0</v>
      </c>
      <c r="C74" s="202" t="s">
        <v>113</v>
      </c>
      <c r="D74" s="91">
        <f>TRUNC(B74*$D$71,2)</f>
        <v>0</v>
      </c>
      <c r="E74" s="102" t="s">
        <v>22</v>
      </c>
    </row>
    <row r="75" spans="1:5" x14ac:dyDescent="0.2">
      <c r="A75" s="49" t="s">
        <v>15</v>
      </c>
      <c r="B75" s="143">
        <f>'Quadro resumo'!C32</f>
        <v>0</v>
      </c>
      <c r="C75" s="216"/>
      <c r="D75" s="91">
        <f>TRUNC(B75*$D$71,2)</f>
        <v>0</v>
      </c>
      <c r="E75" s="102" t="s">
        <v>22</v>
      </c>
    </row>
    <row r="76" spans="1:5" ht="13.5" thickBot="1" x14ac:dyDescent="0.25">
      <c r="A76" s="59" t="s">
        <v>114</v>
      </c>
      <c r="B76" s="144">
        <f>SUM(B74:B75)</f>
        <v>0</v>
      </c>
      <c r="C76" s="60" t="s">
        <v>32</v>
      </c>
      <c r="D76" s="61">
        <f>SUM(D74:D75)</f>
        <v>0</v>
      </c>
      <c r="E76" s="63" t="s">
        <v>22</v>
      </c>
    </row>
    <row r="77" spans="1:5" ht="13.5" thickBot="1" x14ac:dyDescent="0.25">
      <c r="A77" s="103"/>
      <c r="B77" s="16"/>
      <c r="C77" s="16"/>
      <c r="D77" s="16"/>
      <c r="E77" s="47"/>
    </row>
    <row r="78" spans="1:5" x14ac:dyDescent="0.2">
      <c r="A78" s="104" t="s">
        <v>115</v>
      </c>
      <c r="B78" s="41" t="s">
        <v>136</v>
      </c>
      <c r="C78" s="41" t="s">
        <v>23</v>
      </c>
      <c r="D78" s="41" t="s">
        <v>24</v>
      </c>
      <c r="E78" s="42" t="s">
        <v>25</v>
      </c>
    </row>
    <row r="79" spans="1:5" x14ac:dyDescent="0.2">
      <c r="A79" s="49" t="s">
        <v>17</v>
      </c>
      <c r="B79" s="136">
        <f>'Quadro resumo'!C39</f>
        <v>0</v>
      </c>
      <c r="C79" s="202" t="s">
        <v>196</v>
      </c>
      <c r="D79" s="73">
        <f>TRUNC((($D$71+$D$76)/(1-(($B$79+$B$80+$B$81+$B$82))))*(B79),2)</f>
        <v>0</v>
      </c>
      <c r="E79" s="102" t="s">
        <v>22</v>
      </c>
    </row>
    <row r="80" spans="1:5" x14ac:dyDescent="0.2">
      <c r="A80" s="49" t="s">
        <v>18</v>
      </c>
      <c r="B80" s="136">
        <f>'Quadro resumo'!C40</f>
        <v>0</v>
      </c>
      <c r="C80" s="203"/>
      <c r="D80" s="73">
        <f>TRUNC((($D$71+$D$76)/(1-(($B$79+$B$80+$B$81+$B$82))))*(B80),2)</f>
        <v>0</v>
      </c>
      <c r="E80" s="102" t="s">
        <v>22</v>
      </c>
    </row>
    <row r="81" spans="1:5" x14ac:dyDescent="0.2">
      <c r="A81" s="49" t="s">
        <v>19</v>
      </c>
      <c r="B81" s="136">
        <f>'Quadro resumo'!C41</f>
        <v>0</v>
      </c>
      <c r="C81" s="203"/>
      <c r="D81" s="73">
        <f>TRUNC((($D$71+$D$76)/(1-(($B$79+$B$80+$B$81+$B$82))))*(B81),2)</f>
        <v>0</v>
      </c>
      <c r="E81" s="102" t="s">
        <v>22</v>
      </c>
    </row>
    <row r="82" spans="1:5" x14ac:dyDescent="0.2">
      <c r="A82" s="53" t="s">
        <v>187</v>
      </c>
      <c r="B82" s="189">
        <v>4.4999999999999998E-2</v>
      </c>
      <c r="C82" s="204"/>
      <c r="D82" s="73">
        <f>TRUNC((($D$71+$D$76)/(1-(($B$79+$B$80+$B$81+$B$82))))*(B82),2)</f>
        <v>355.34</v>
      </c>
      <c r="E82" s="190"/>
    </row>
    <row r="83" spans="1:5" ht="13.5" thickBot="1" x14ac:dyDescent="0.25">
      <c r="A83" s="59" t="s">
        <v>117</v>
      </c>
      <c r="B83" s="141">
        <f>SUM(B79:B82)</f>
        <v>4.4999999999999998E-2</v>
      </c>
      <c r="C83" s="60" t="s">
        <v>32</v>
      </c>
      <c r="D83" s="61">
        <f>SUM(D79:D82)</f>
        <v>355.34</v>
      </c>
      <c r="E83" s="63" t="s">
        <v>22</v>
      </c>
    </row>
    <row r="84" spans="1:5" ht="13.5" thickBot="1" x14ac:dyDescent="0.25">
      <c r="A84" s="46"/>
      <c r="B84" s="16"/>
      <c r="C84" s="16"/>
      <c r="D84" s="16"/>
      <c r="E84" s="47"/>
    </row>
    <row r="85" spans="1:5" ht="13.5" thickBot="1" x14ac:dyDescent="0.25">
      <c r="A85" s="105" t="s">
        <v>118</v>
      </c>
      <c r="B85" s="106"/>
      <c r="C85" s="41" t="s">
        <v>23</v>
      </c>
      <c r="D85" s="106" t="s">
        <v>119</v>
      </c>
      <c r="E85" s="42" t="s">
        <v>120</v>
      </c>
    </row>
    <row r="86" spans="1:5" ht="13.5" thickBot="1" x14ac:dyDescent="0.25">
      <c r="A86" s="107"/>
      <c r="B86" s="108"/>
      <c r="C86" s="108" t="s">
        <v>121</v>
      </c>
      <c r="D86" s="109">
        <f>SUM(D71,D76,D83)</f>
        <v>7896.5000000000009</v>
      </c>
      <c r="E86" s="110">
        <f>D86*12</f>
        <v>94758.000000000015</v>
      </c>
    </row>
  </sheetData>
  <sheetProtection algorithmName="SHA-512" hashValue="6gSE4LUz7iQDDi6e+QHI6sTUs6BP3ocSsqCInI8/3OXG7N5rAVoy0/3x+a0mo+KL9Au6GZrJ4kL6quYdA0xEUw==" saltValue="/gnFRnthw96DmfofCobxsw==" spinCount="100000" sheet="1" objects="1" scenarios="1"/>
  <mergeCells count="6">
    <mergeCell ref="C79:C82"/>
    <mergeCell ref="A1:E1"/>
    <mergeCell ref="A3:E3"/>
    <mergeCell ref="A45:B45"/>
    <mergeCell ref="A54:E54"/>
    <mergeCell ref="C74:C7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workbookViewId="0">
      <selection sqref="A1:E1"/>
    </sheetView>
  </sheetViews>
  <sheetFormatPr defaultRowHeight="12.75" x14ac:dyDescent="0.2"/>
  <cols>
    <col min="1" max="1" width="75.5703125" style="31" customWidth="1"/>
    <col min="2" max="2" width="16.85546875" style="31" bestFit="1" customWidth="1"/>
    <col min="3" max="3" width="41.85546875" style="31" customWidth="1"/>
    <col min="4" max="4" width="13.140625" style="31" bestFit="1" customWidth="1"/>
    <col min="5" max="5" width="41.42578125" style="31" bestFit="1" customWidth="1"/>
    <col min="6" max="256" width="9.140625" style="31"/>
    <col min="257" max="257" width="75.5703125" style="31" customWidth="1"/>
    <col min="258" max="258" width="16.85546875" style="31" bestFit="1" customWidth="1"/>
    <col min="259" max="259" width="40" style="31" customWidth="1"/>
    <col min="260" max="260" width="13.140625" style="31" bestFit="1" customWidth="1"/>
    <col min="261" max="261" width="44.5703125" style="31" bestFit="1" customWidth="1"/>
    <col min="262" max="512" width="9.140625" style="31"/>
    <col min="513" max="513" width="75.5703125" style="31" customWidth="1"/>
    <col min="514" max="514" width="16.85546875" style="31" bestFit="1" customWidth="1"/>
    <col min="515" max="515" width="40" style="31" customWidth="1"/>
    <col min="516" max="516" width="13.140625" style="31" bestFit="1" customWidth="1"/>
    <col min="517" max="517" width="44.5703125" style="31" bestFit="1" customWidth="1"/>
    <col min="518" max="768" width="9.140625" style="31"/>
    <col min="769" max="769" width="75.5703125" style="31" customWidth="1"/>
    <col min="770" max="770" width="16.85546875" style="31" bestFit="1" customWidth="1"/>
    <col min="771" max="771" width="40" style="31" customWidth="1"/>
    <col min="772" max="772" width="13.140625" style="31" bestFit="1" customWidth="1"/>
    <col min="773" max="773" width="44.5703125" style="31" bestFit="1" customWidth="1"/>
    <col min="774" max="1024" width="9.140625" style="31"/>
    <col min="1025" max="1025" width="75.5703125" style="31" customWidth="1"/>
    <col min="1026" max="1026" width="16.85546875" style="31" bestFit="1" customWidth="1"/>
    <col min="1027" max="1027" width="40" style="31" customWidth="1"/>
    <col min="1028" max="1028" width="13.140625" style="31" bestFit="1" customWidth="1"/>
    <col min="1029" max="1029" width="44.5703125" style="31" bestFit="1" customWidth="1"/>
    <col min="1030" max="1280" width="9.140625" style="31"/>
    <col min="1281" max="1281" width="75.5703125" style="31" customWidth="1"/>
    <col min="1282" max="1282" width="16.85546875" style="31" bestFit="1" customWidth="1"/>
    <col min="1283" max="1283" width="40" style="31" customWidth="1"/>
    <col min="1284" max="1284" width="13.140625" style="31" bestFit="1" customWidth="1"/>
    <col min="1285" max="1285" width="44.5703125" style="31" bestFit="1" customWidth="1"/>
    <col min="1286" max="1536" width="9.140625" style="31"/>
    <col min="1537" max="1537" width="75.5703125" style="31" customWidth="1"/>
    <col min="1538" max="1538" width="16.85546875" style="31" bestFit="1" customWidth="1"/>
    <col min="1539" max="1539" width="40" style="31" customWidth="1"/>
    <col min="1540" max="1540" width="13.140625" style="31" bestFit="1" customWidth="1"/>
    <col min="1541" max="1541" width="44.5703125" style="31" bestFit="1" customWidth="1"/>
    <col min="1542" max="1792" width="9.140625" style="31"/>
    <col min="1793" max="1793" width="75.5703125" style="31" customWidth="1"/>
    <col min="1794" max="1794" width="16.85546875" style="31" bestFit="1" customWidth="1"/>
    <col min="1795" max="1795" width="40" style="31" customWidth="1"/>
    <col min="1796" max="1796" width="13.140625" style="31" bestFit="1" customWidth="1"/>
    <col min="1797" max="1797" width="44.5703125" style="31" bestFit="1" customWidth="1"/>
    <col min="1798" max="2048" width="9.140625" style="31"/>
    <col min="2049" max="2049" width="75.5703125" style="31" customWidth="1"/>
    <col min="2050" max="2050" width="16.85546875" style="31" bestFit="1" customWidth="1"/>
    <col min="2051" max="2051" width="40" style="31" customWidth="1"/>
    <col min="2052" max="2052" width="13.140625" style="31" bestFit="1" customWidth="1"/>
    <col min="2053" max="2053" width="44.5703125" style="31" bestFit="1" customWidth="1"/>
    <col min="2054" max="2304" width="9.140625" style="31"/>
    <col min="2305" max="2305" width="75.5703125" style="31" customWidth="1"/>
    <col min="2306" max="2306" width="16.85546875" style="31" bestFit="1" customWidth="1"/>
    <col min="2307" max="2307" width="40" style="31" customWidth="1"/>
    <col min="2308" max="2308" width="13.140625" style="31" bestFit="1" customWidth="1"/>
    <col min="2309" max="2309" width="44.5703125" style="31" bestFit="1" customWidth="1"/>
    <col min="2310" max="2560" width="9.140625" style="31"/>
    <col min="2561" max="2561" width="75.5703125" style="31" customWidth="1"/>
    <col min="2562" max="2562" width="16.85546875" style="31" bestFit="1" customWidth="1"/>
    <col min="2563" max="2563" width="40" style="31" customWidth="1"/>
    <col min="2564" max="2564" width="13.140625" style="31" bestFit="1" customWidth="1"/>
    <col min="2565" max="2565" width="44.5703125" style="31" bestFit="1" customWidth="1"/>
    <col min="2566" max="2816" width="9.140625" style="31"/>
    <col min="2817" max="2817" width="75.5703125" style="31" customWidth="1"/>
    <col min="2818" max="2818" width="16.85546875" style="31" bestFit="1" customWidth="1"/>
    <col min="2819" max="2819" width="40" style="31" customWidth="1"/>
    <col min="2820" max="2820" width="13.140625" style="31" bestFit="1" customWidth="1"/>
    <col min="2821" max="2821" width="44.5703125" style="31" bestFit="1" customWidth="1"/>
    <col min="2822" max="3072" width="9.140625" style="31"/>
    <col min="3073" max="3073" width="75.5703125" style="31" customWidth="1"/>
    <col min="3074" max="3074" width="16.85546875" style="31" bestFit="1" customWidth="1"/>
    <col min="3075" max="3075" width="40" style="31" customWidth="1"/>
    <col min="3076" max="3076" width="13.140625" style="31" bestFit="1" customWidth="1"/>
    <col min="3077" max="3077" width="44.5703125" style="31" bestFit="1" customWidth="1"/>
    <col min="3078" max="3328" width="9.140625" style="31"/>
    <col min="3329" max="3329" width="75.5703125" style="31" customWidth="1"/>
    <col min="3330" max="3330" width="16.85546875" style="31" bestFit="1" customWidth="1"/>
    <col min="3331" max="3331" width="40" style="31" customWidth="1"/>
    <col min="3332" max="3332" width="13.140625" style="31" bestFit="1" customWidth="1"/>
    <col min="3333" max="3333" width="44.5703125" style="31" bestFit="1" customWidth="1"/>
    <col min="3334" max="3584" width="9.140625" style="31"/>
    <col min="3585" max="3585" width="75.5703125" style="31" customWidth="1"/>
    <col min="3586" max="3586" width="16.85546875" style="31" bestFit="1" customWidth="1"/>
    <col min="3587" max="3587" width="40" style="31" customWidth="1"/>
    <col min="3588" max="3588" width="13.140625" style="31" bestFit="1" customWidth="1"/>
    <col min="3589" max="3589" width="44.5703125" style="31" bestFit="1" customWidth="1"/>
    <col min="3590" max="3840" width="9.140625" style="31"/>
    <col min="3841" max="3841" width="75.5703125" style="31" customWidth="1"/>
    <col min="3842" max="3842" width="16.85546875" style="31" bestFit="1" customWidth="1"/>
    <col min="3843" max="3843" width="40" style="31" customWidth="1"/>
    <col min="3844" max="3844" width="13.140625" style="31" bestFit="1" customWidth="1"/>
    <col min="3845" max="3845" width="44.5703125" style="31" bestFit="1" customWidth="1"/>
    <col min="3846" max="4096" width="9.140625" style="31"/>
    <col min="4097" max="4097" width="75.5703125" style="31" customWidth="1"/>
    <col min="4098" max="4098" width="16.85546875" style="31" bestFit="1" customWidth="1"/>
    <col min="4099" max="4099" width="40" style="31" customWidth="1"/>
    <col min="4100" max="4100" width="13.140625" style="31" bestFit="1" customWidth="1"/>
    <col min="4101" max="4101" width="44.5703125" style="31" bestFit="1" customWidth="1"/>
    <col min="4102" max="4352" width="9.140625" style="31"/>
    <col min="4353" max="4353" width="75.5703125" style="31" customWidth="1"/>
    <col min="4354" max="4354" width="16.85546875" style="31" bestFit="1" customWidth="1"/>
    <col min="4355" max="4355" width="40" style="31" customWidth="1"/>
    <col min="4356" max="4356" width="13.140625" style="31" bestFit="1" customWidth="1"/>
    <col min="4357" max="4357" width="44.5703125" style="31" bestFit="1" customWidth="1"/>
    <col min="4358" max="4608" width="9.140625" style="31"/>
    <col min="4609" max="4609" width="75.5703125" style="31" customWidth="1"/>
    <col min="4610" max="4610" width="16.85546875" style="31" bestFit="1" customWidth="1"/>
    <col min="4611" max="4611" width="40" style="31" customWidth="1"/>
    <col min="4612" max="4612" width="13.140625" style="31" bestFit="1" customWidth="1"/>
    <col min="4613" max="4613" width="44.5703125" style="31" bestFit="1" customWidth="1"/>
    <col min="4614" max="4864" width="9.140625" style="31"/>
    <col min="4865" max="4865" width="75.5703125" style="31" customWidth="1"/>
    <col min="4866" max="4866" width="16.85546875" style="31" bestFit="1" customWidth="1"/>
    <col min="4867" max="4867" width="40" style="31" customWidth="1"/>
    <col min="4868" max="4868" width="13.140625" style="31" bestFit="1" customWidth="1"/>
    <col min="4869" max="4869" width="44.5703125" style="31" bestFit="1" customWidth="1"/>
    <col min="4870" max="5120" width="9.140625" style="31"/>
    <col min="5121" max="5121" width="75.5703125" style="31" customWidth="1"/>
    <col min="5122" max="5122" width="16.85546875" style="31" bestFit="1" customWidth="1"/>
    <col min="5123" max="5123" width="40" style="31" customWidth="1"/>
    <col min="5124" max="5124" width="13.140625" style="31" bestFit="1" customWidth="1"/>
    <col min="5125" max="5125" width="44.5703125" style="31" bestFit="1" customWidth="1"/>
    <col min="5126" max="5376" width="9.140625" style="31"/>
    <col min="5377" max="5377" width="75.5703125" style="31" customWidth="1"/>
    <col min="5378" max="5378" width="16.85546875" style="31" bestFit="1" customWidth="1"/>
    <col min="5379" max="5379" width="40" style="31" customWidth="1"/>
    <col min="5380" max="5380" width="13.140625" style="31" bestFit="1" customWidth="1"/>
    <col min="5381" max="5381" width="44.5703125" style="31" bestFit="1" customWidth="1"/>
    <col min="5382" max="5632" width="9.140625" style="31"/>
    <col min="5633" max="5633" width="75.5703125" style="31" customWidth="1"/>
    <col min="5634" max="5634" width="16.85546875" style="31" bestFit="1" customWidth="1"/>
    <col min="5635" max="5635" width="40" style="31" customWidth="1"/>
    <col min="5636" max="5636" width="13.140625" style="31" bestFit="1" customWidth="1"/>
    <col min="5637" max="5637" width="44.5703125" style="31" bestFit="1" customWidth="1"/>
    <col min="5638" max="5888" width="9.140625" style="31"/>
    <col min="5889" max="5889" width="75.5703125" style="31" customWidth="1"/>
    <col min="5890" max="5890" width="16.85546875" style="31" bestFit="1" customWidth="1"/>
    <col min="5891" max="5891" width="40" style="31" customWidth="1"/>
    <col min="5892" max="5892" width="13.140625" style="31" bestFit="1" customWidth="1"/>
    <col min="5893" max="5893" width="44.5703125" style="31" bestFit="1" customWidth="1"/>
    <col min="5894" max="6144" width="9.140625" style="31"/>
    <col min="6145" max="6145" width="75.5703125" style="31" customWidth="1"/>
    <col min="6146" max="6146" width="16.85546875" style="31" bestFit="1" customWidth="1"/>
    <col min="6147" max="6147" width="40" style="31" customWidth="1"/>
    <col min="6148" max="6148" width="13.140625" style="31" bestFit="1" customWidth="1"/>
    <col min="6149" max="6149" width="44.5703125" style="31" bestFit="1" customWidth="1"/>
    <col min="6150" max="6400" width="9.140625" style="31"/>
    <col min="6401" max="6401" width="75.5703125" style="31" customWidth="1"/>
    <col min="6402" max="6402" width="16.85546875" style="31" bestFit="1" customWidth="1"/>
    <col min="6403" max="6403" width="40" style="31" customWidth="1"/>
    <col min="6404" max="6404" width="13.140625" style="31" bestFit="1" customWidth="1"/>
    <col min="6405" max="6405" width="44.5703125" style="31" bestFit="1" customWidth="1"/>
    <col min="6406" max="6656" width="9.140625" style="31"/>
    <col min="6657" max="6657" width="75.5703125" style="31" customWidth="1"/>
    <col min="6658" max="6658" width="16.85546875" style="31" bestFit="1" customWidth="1"/>
    <col min="6659" max="6659" width="40" style="31" customWidth="1"/>
    <col min="6660" max="6660" width="13.140625" style="31" bestFit="1" customWidth="1"/>
    <col min="6661" max="6661" width="44.5703125" style="31" bestFit="1" customWidth="1"/>
    <col min="6662" max="6912" width="9.140625" style="31"/>
    <col min="6913" max="6913" width="75.5703125" style="31" customWidth="1"/>
    <col min="6914" max="6914" width="16.85546875" style="31" bestFit="1" customWidth="1"/>
    <col min="6915" max="6915" width="40" style="31" customWidth="1"/>
    <col min="6916" max="6916" width="13.140625" style="31" bestFit="1" customWidth="1"/>
    <col min="6917" max="6917" width="44.5703125" style="31" bestFit="1" customWidth="1"/>
    <col min="6918" max="7168" width="9.140625" style="31"/>
    <col min="7169" max="7169" width="75.5703125" style="31" customWidth="1"/>
    <col min="7170" max="7170" width="16.85546875" style="31" bestFit="1" customWidth="1"/>
    <col min="7171" max="7171" width="40" style="31" customWidth="1"/>
    <col min="7172" max="7172" width="13.140625" style="31" bestFit="1" customWidth="1"/>
    <col min="7173" max="7173" width="44.5703125" style="31" bestFit="1" customWidth="1"/>
    <col min="7174" max="7424" width="9.140625" style="31"/>
    <col min="7425" max="7425" width="75.5703125" style="31" customWidth="1"/>
    <col min="7426" max="7426" width="16.85546875" style="31" bestFit="1" customWidth="1"/>
    <col min="7427" max="7427" width="40" style="31" customWidth="1"/>
    <col min="7428" max="7428" width="13.140625" style="31" bestFit="1" customWidth="1"/>
    <col min="7429" max="7429" width="44.5703125" style="31" bestFit="1" customWidth="1"/>
    <col min="7430" max="7680" width="9.140625" style="31"/>
    <col min="7681" max="7681" width="75.5703125" style="31" customWidth="1"/>
    <col min="7682" max="7682" width="16.85546875" style="31" bestFit="1" customWidth="1"/>
    <col min="7683" max="7683" width="40" style="31" customWidth="1"/>
    <col min="7684" max="7684" width="13.140625" style="31" bestFit="1" customWidth="1"/>
    <col min="7685" max="7685" width="44.5703125" style="31" bestFit="1" customWidth="1"/>
    <col min="7686" max="7936" width="9.140625" style="31"/>
    <col min="7937" max="7937" width="75.5703125" style="31" customWidth="1"/>
    <col min="7938" max="7938" width="16.85546875" style="31" bestFit="1" customWidth="1"/>
    <col min="7939" max="7939" width="40" style="31" customWidth="1"/>
    <col min="7940" max="7940" width="13.140625" style="31" bestFit="1" customWidth="1"/>
    <col min="7941" max="7941" width="44.5703125" style="31" bestFit="1" customWidth="1"/>
    <col min="7942" max="8192" width="9.140625" style="31"/>
    <col min="8193" max="8193" width="75.5703125" style="31" customWidth="1"/>
    <col min="8194" max="8194" width="16.85546875" style="31" bestFit="1" customWidth="1"/>
    <col min="8195" max="8195" width="40" style="31" customWidth="1"/>
    <col min="8196" max="8196" width="13.140625" style="31" bestFit="1" customWidth="1"/>
    <col min="8197" max="8197" width="44.5703125" style="31" bestFit="1" customWidth="1"/>
    <col min="8198" max="8448" width="9.140625" style="31"/>
    <col min="8449" max="8449" width="75.5703125" style="31" customWidth="1"/>
    <col min="8450" max="8450" width="16.85546875" style="31" bestFit="1" customWidth="1"/>
    <col min="8451" max="8451" width="40" style="31" customWidth="1"/>
    <col min="8452" max="8452" width="13.140625" style="31" bestFit="1" customWidth="1"/>
    <col min="8453" max="8453" width="44.5703125" style="31" bestFit="1" customWidth="1"/>
    <col min="8454" max="8704" width="9.140625" style="31"/>
    <col min="8705" max="8705" width="75.5703125" style="31" customWidth="1"/>
    <col min="8706" max="8706" width="16.85546875" style="31" bestFit="1" customWidth="1"/>
    <col min="8707" max="8707" width="40" style="31" customWidth="1"/>
    <col min="8708" max="8708" width="13.140625" style="31" bestFit="1" customWidth="1"/>
    <col min="8709" max="8709" width="44.5703125" style="31" bestFit="1" customWidth="1"/>
    <col min="8710" max="8960" width="9.140625" style="31"/>
    <col min="8961" max="8961" width="75.5703125" style="31" customWidth="1"/>
    <col min="8962" max="8962" width="16.85546875" style="31" bestFit="1" customWidth="1"/>
    <col min="8963" max="8963" width="40" style="31" customWidth="1"/>
    <col min="8964" max="8964" width="13.140625" style="31" bestFit="1" customWidth="1"/>
    <col min="8965" max="8965" width="44.5703125" style="31" bestFit="1" customWidth="1"/>
    <col min="8966" max="9216" width="9.140625" style="31"/>
    <col min="9217" max="9217" width="75.5703125" style="31" customWidth="1"/>
    <col min="9218" max="9218" width="16.85546875" style="31" bestFit="1" customWidth="1"/>
    <col min="9219" max="9219" width="40" style="31" customWidth="1"/>
    <col min="9220" max="9220" width="13.140625" style="31" bestFit="1" customWidth="1"/>
    <col min="9221" max="9221" width="44.5703125" style="31" bestFit="1" customWidth="1"/>
    <col min="9222" max="9472" width="9.140625" style="31"/>
    <col min="9473" max="9473" width="75.5703125" style="31" customWidth="1"/>
    <col min="9474" max="9474" width="16.85546875" style="31" bestFit="1" customWidth="1"/>
    <col min="9475" max="9475" width="40" style="31" customWidth="1"/>
    <col min="9476" max="9476" width="13.140625" style="31" bestFit="1" customWidth="1"/>
    <col min="9477" max="9477" width="44.5703125" style="31" bestFit="1" customWidth="1"/>
    <col min="9478" max="9728" width="9.140625" style="31"/>
    <col min="9729" max="9729" width="75.5703125" style="31" customWidth="1"/>
    <col min="9730" max="9730" width="16.85546875" style="31" bestFit="1" customWidth="1"/>
    <col min="9731" max="9731" width="40" style="31" customWidth="1"/>
    <col min="9732" max="9732" width="13.140625" style="31" bestFit="1" customWidth="1"/>
    <col min="9733" max="9733" width="44.5703125" style="31" bestFit="1" customWidth="1"/>
    <col min="9734" max="9984" width="9.140625" style="31"/>
    <col min="9985" max="9985" width="75.5703125" style="31" customWidth="1"/>
    <col min="9986" max="9986" width="16.85546875" style="31" bestFit="1" customWidth="1"/>
    <col min="9987" max="9987" width="40" style="31" customWidth="1"/>
    <col min="9988" max="9988" width="13.140625" style="31" bestFit="1" customWidth="1"/>
    <col min="9989" max="9989" width="44.5703125" style="31" bestFit="1" customWidth="1"/>
    <col min="9990" max="10240" width="9.140625" style="31"/>
    <col min="10241" max="10241" width="75.5703125" style="31" customWidth="1"/>
    <col min="10242" max="10242" width="16.85546875" style="31" bestFit="1" customWidth="1"/>
    <col min="10243" max="10243" width="40" style="31" customWidth="1"/>
    <col min="10244" max="10244" width="13.140625" style="31" bestFit="1" customWidth="1"/>
    <col min="10245" max="10245" width="44.5703125" style="31" bestFit="1" customWidth="1"/>
    <col min="10246" max="10496" width="9.140625" style="31"/>
    <col min="10497" max="10497" width="75.5703125" style="31" customWidth="1"/>
    <col min="10498" max="10498" width="16.85546875" style="31" bestFit="1" customWidth="1"/>
    <col min="10499" max="10499" width="40" style="31" customWidth="1"/>
    <col min="10500" max="10500" width="13.140625" style="31" bestFit="1" customWidth="1"/>
    <col min="10501" max="10501" width="44.5703125" style="31" bestFit="1" customWidth="1"/>
    <col min="10502" max="10752" width="9.140625" style="31"/>
    <col min="10753" max="10753" width="75.5703125" style="31" customWidth="1"/>
    <col min="10754" max="10754" width="16.85546875" style="31" bestFit="1" customWidth="1"/>
    <col min="10755" max="10755" width="40" style="31" customWidth="1"/>
    <col min="10756" max="10756" width="13.140625" style="31" bestFit="1" customWidth="1"/>
    <col min="10757" max="10757" width="44.5703125" style="31" bestFit="1" customWidth="1"/>
    <col min="10758" max="11008" width="9.140625" style="31"/>
    <col min="11009" max="11009" width="75.5703125" style="31" customWidth="1"/>
    <col min="11010" max="11010" width="16.85546875" style="31" bestFit="1" customWidth="1"/>
    <col min="11011" max="11011" width="40" style="31" customWidth="1"/>
    <col min="11012" max="11012" width="13.140625" style="31" bestFit="1" customWidth="1"/>
    <col min="11013" max="11013" width="44.5703125" style="31" bestFit="1" customWidth="1"/>
    <col min="11014" max="11264" width="9.140625" style="31"/>
    <col min="11265" max="11265" width="75.5703125" style="31" customWidth="1"/>
    <col min="11266" max="11266" width="16.85546875" style="31" bestFit="1" customWidth="1"/>
    <col min="11267" max="11267" width="40" style="31" customWidth="1"/>
    <col min="11268" max="11268" width="13.140625" style="31" bestFit="1" customWidth="1"/>
    <col min="11269" max="11269" width="44.5703125" style="31" bestFit="1" customWidth="1"/>
    <col min="11270" max="11520" width="9.140625" style="31"/>
    <col min="11521" max="11521" width="75.5703125" style="31" customWidth="1"/>
    <col min="11522" max="11522" width="16.85546875" style="31" bestFit="1" customWidth="1"/>
    <col min="11523" max="11523" width="40" style="31" customWidth="1"/>
    <col min="11524" max="11524" width="13.140625" style="31" bestFit="1" customWidth="1"/>
    <col min="11525" max="11525" width="44.5703125" style="31" bestFit="1" customWidth="1"/>
    <col min="11526" max="11776" width="9.140625" style="31"/>
    <col min="11777" max="11777" width="75.5703125" style="31" customWidth="1"/>
    <col min="11778" max="11778" width="16.85546875" style="31" bestFit="1" customWidth="1"/>
    <col min="11779" max="11779" width="40" style="31" customWidth="1"/>
    <col min="11780" max="11780" width="13.140625" style="31" bestFit="1" customWidth="1"/>
    <col min="11781" max="11781" width="44.5703125" style="31" bestFit="1" customWidth="1"/>
    <col min="11782" max="12032" width="9.140625" style="31"/>
    <col min="12033" max="12033" width="75.5703125" style="31" customWidth="1"/>
    <col min="12034" max="12034" width="16.85546875" style="31" bestFit="1" customWidth="1"/>
    <col min="12035" max="12035" width="40" style="31" customWidth="1"/>
    <col min="12036" max="12036" width="13.140625" style="31" bestFit="1" customWidth="1"/>
    <col min="12037" max="12037" width="44.5703125" style="31" bestFit="1" customWidth="1"/>
    <col min="12038" max="12288" width="9.140625" style="31"/>
    <col min="12289" max="12289" width="75.5703125" style="31" customWidth="1"/>
    <col min="12290" max="12290" width="16.85546875" style="31" bestFit="1" customWidth="1"/>
    <col min="12291" max="12291" width="40" style="31" customWidth="1"/>
    <col min="12292" max="12292" width="13.140625" style="31" bestFit="1" customWidth="1"/>
    <col min="12293" max="12293" width="44.5703125" style="31" bestFit="1" customWidth="1"/>
    <col min="12294" max="12544" width="9.140625" style="31"/>
    <col min="12545" max="12545" width="75.5703125" style="31" customWidth="1"/>
    <col min="12546" max="12546" width="16.85546875" style="31" bestFit="1" customWidth="1"/>
    <col min="12547" max="12547" width="40" style="31" customWidth="1"/>
    <col min="12548" max="12548" width="13.140625" style="31" bestFit="1" customWidth="1"/>
    <col min="12549" max="12549" width="44.5703125" style="31" bestFit="1" customWidth="1"/>
    <col min="12550" max="12800" width="9.140625" style="31"/>
    <col min="12801" max="12801" width="75.5703125" style="31" customWidth="1"/>
    <col min="12802" max="12802" width="16.85546875" style="31" bestFit="1" customWidth="1"/>
    <col min="12803" max="12803" width="40" style="31" customWidth="1"/>
    <col min="12804" max="12804" width="13.140625" style="31" bestFit="1" customWidth="1"/>
    <col min="12805" max="12805" width="44.5703125" style="31" bestFit="1" customWidth="1"/>
    <col min="12806" max="13056" width="9.140625" style="31"/>
    <col min="13057" max="13057" width="75.5703125" style="31" customWidth="1"/>
    <col min="13058" max="13058" width="16.85546875" style="31" bestFit="1" customWidth="1"/>
    <col min="13059" max="13059" width="40" style="31" customWidth="1"/>
    <col min="13060" max="13060" width="13.140625" style="31" bestFit="1" customWidth="1"/>
    <col min="13061" max="13061" width="44.5703125" style="31" bestFit="1" customWidth="1"/>
    <col min="13062" max="13312" width="9.140625" style="31"/>
    <col min="13313" max="13313" width="75.5703125" style="31" customWidth="1"/>
    <col min="13314" max="13314" width="16.85546875" style="31" bestFit="1" customWidth="1"/>
    <col min="13315" max="13315" width="40" style="31" customWidth="1"/>
    <col min="13316" max="13316" width="13.140625" style="31" bestFit="1" customWidth="1"/>
    <col min="13317" max="13317" width="44.5703125" style="31" bestFit="1" customWidth="1"/>
    <col min="13318" max="13568" width="9.140625" style="31"/>
    <col min="13569" max="13569" width="75.5703125" style="31" customWidth="1"/>
    <col min="13570" max="13570" width="16.85546875" style="31" bestFit="1" customWidth="1"/>
    <col min="13571" max="13571" width="40" style="31" customWidth="1"/>
    <col min="13572" max="13572" width="13.140625" style="31" bestFit="1" customWidth="1"/>
    <col min="13573" max="13573" width="44.5703125" style="31" bestFit="1" customWidth="1"/>
    <col min="13574" max="13824" width="9.140625" style="31"/>
    <col min="13825" max="13825" width="75.5703125" style="31" customWidth="1"/>
    <col min="13826" max="13826" width="16.85546875" style="31" bestFit="1" customWidth="1"/>
    <col min="13827" max="13827" width="40" style="31" customWidth="1"/>
    <col min="13828" max="13828" width="13.140625" style="31" bestFit="1" customWidth="1"/>
    <col min="13829" max="13829" width="44.5703125" style="31" bestFit="1" customWidth="1"/>
    <col min="13830" max="14080" width="9.140625" style="31"/>
    <col min="14081" max="14081" width="75.5703125" style="31" customWidth="1"/>
    <col min="14082" max="14082" width="16.85546875" style="31" bestFit="1" customWidth="1"/>
    <col min="14083" max="14083" width="40" style="31" customWidth="1"/>
    <col min="14084" max="14084" width="13.140625" style="31" bestFit="1" customWidth="1"/>
    <col min="14085" max="14085" width="44.5703125" style="31" bestFit="1" customWidth="1"/>
    <col min="14086" max="14336" width="9.140625" style="31"/>
    <col min="14337" max="14337" width="75.5703125" style="31" customWidth="1"/>
    <col min="14338" max="14338" width="16.85546875" style="31" bestFit="1" customWidth="1"/>
    <col min="14339" max="14339" width="40" style="31" customWidth="1"/>
    <col min="14340" max="14340" width="13.140625" style="31" bestFit="1" customWidth="1"/>
    <col min="14341" max="14341" width="44.5703125" style="31" bestFit="1" customWidth="1"/>
    <col min="14342" max="14592" width="9.140625" style="31"/>
    <col min="14593" max="14593" width="75.5703125" style="31" customWidth="1"/>
    <col min="14594" max="14594" width="16.85546875" style="31" bestFit="1" customWidth="1"/>
    <col min="14595" max="14595" width="40" style="31" customWidth="1"/>
    <col min="14596" max="14596" width="13.140625" style="31" bestFit="1" customWidth="1"/>
    <col min="14597" max="14597" width="44.5703125" style="31" bestFit="1" customWidth="1"/>
    <col min="14598" max="14848" width="9.140625" style="31"/>
    <col min="14849" max="14849" width="75.5703125" style="31" customWidth="1"/>
    <col min="14850" max="14850" width="16.85546875" style="31" bestFit="1" customWidth="1"/>
    <col min="14851" max="14851" width="40" style="31" customWidth="1"/>
    <col min="14852" max="14852" width="13.140625" style="31" bestFit="1" customWidth="1"/>
    <col min="14853" max="14853" width="44.5703125" style="31" bestFit="1" customWidth="1"/>
    <col min="14854" max="15104" width="9.140625" style="31"/>
    <col min="15105" max="15105" width="75.5703125" style="31" customWidth="1"/>
    <col min="15106" max="15106" width="16.85546875" style="31" bestFit="1" customWidth="1"/>
    <col min="15107" max="15107" width="40" style="31" customWidth="1"/>
    <col min="15108" max="15108" width="13.140625" style="31" bestFit="1" customWidth="1"/>
    <col min="15109" max="15109" width="44.5703125" style="31" bestFit="1" customWidth="1"/>
    <col min="15110" max="15360" width="9.140625" style="31"/>
    <col min="15361" max="15361" width="75.5703125" style="31" customWidth="1"/>
    <col min="15362" max="15362" width="16.85546875" style="31" bestFit="1" customWidth="1"/>
    <col min="15363" max="15363" width="40" style="31" customWidth="1"/>
    <col min="15364" max="15364" width="13.140625" style="31" bestFit="1" customWidth="1"/>
    <col min="15365" max="15365" width="44.5703125" style="31" bestFit="1" customWidth="1"/>
    <col min="15366" max="15616" width="9.140625" style="31"/>
    <col min="15617" max="15617" width="75.5703125" style="31" customWidth="1"/>
    <col min="15618" max="15618" width="16.85546875" style="31" bestFit="1" customWidth="1"/>
    <col min="15619" max="15619" width="40" style="31" customWidth="1"/>
    <col min="15620" max="15620" width="13.140625" style="31" bestFit="1" customWidth="1"/>
    <col min="15621" max="15621" width="44.5703125" style="31" bestFit="1" customWidth="1"/>
    <col min="15622" max="15872" width="9.140625" style="31"/>
    <col min="15873" max="15873" width="75.5703125" style="31" customWidth="1"/>
    <col min="15874" max="15874" width="16.85546875" style="31" bestFit="1" customWidth="1"/>
    <col min="15875" max="15875" width="40" style="31" customWidth="1"/>
    <col min="15876" max="15876" width="13.140625" style="31" bestFit="1" customWidth="1"/>
    <col min="15877" max="15877" width="44.5703125" style="31" bestFit="1" customWidth="1"/>
    <col min="15878" max="16128" width="9.140625" style="31"/>
    <col min="16129" max="16129" width="75.5703125" style="31" customWidth="1"/>
    <col min="16130" max="16130" width="16.85546875" style="31" bestFit="1" customWidth="1"/>
    <col min="16131" max="16131" width="40" style="31" customWidth="1"/>
    <col min="16132" max="16132" width="13.140625" style="31" bestFit="1" customWidth="1"/>
    <col min="16133" max="16133" width="44.5703125" style="31" bestFit="1" customWidth="1"/>
    <col min="16134" max="16384" width="9.140625" style="31"/>
  </cols>
  <sheetData>
    <row r="1" spans="1:6" ht="20.25" thickBot="1" x14ac:dyDescent="0.25">
      <c r="A1" s="205" t="s">
        <v>180</v>
      </c>
      <c r="B1" s="206"/>
      <c r="C1" s="206"/>
      <c r="D1" s="206"/>
      <c r="E1" s="207"/>
    </row>
    <row r="2" spans="1:6" ht="20.25" thickBot="1" x14ac:dyDescent="0.25">
      <c r="A2" s="34"/>
      <c r="B2" s="35"/>
      <c r="C2" s="35"/>
      <c r="D2" s="35"/>
      <c r="E2" s="36"/>
    </row>
    <row r="3" spans="1:6" ht="15.75" thickBot="1" x14ac:dyDescent="0.25">
      <c r="A3" s="208" t="s">
        <v>128</v>
      </c>
      <c r="B3" s="209"/>
      <c r="C3" s="209"/>
      <c r="D3" s="209"/>
      <c r="E3" s="210"/>
    </row>
    <row r="4" spans="1:6" ht="20.25" thickBot="1" x14ac:dyDescent="0.25">
      <c r="A4" s="37"/>
      <c r="B4" s="38"/>
      <c r="C4" s="38"/>
      <c r="D4" s="38"/>
      <c r="E4" s="39"/>
    </row>
    <row r="5" spans="1:6" x14ac:dyDescent="0.2">
      <c r="A5" s="40" t="s">
        <v>21</v>
      </c>
      <c r="B5" s="41" t="s">
        <v>22</v>
      </c>
      <c r="C5" s="41" t="s">
        <v>23</v>
      </c>
      <c r="D5" s="41" t="s">
        <v>24</v>
      </c>
      <c r="E5" s="42" t="s">
        <v>25</v>
      </c>
    </row>
    <row r="6" spans="1:6" ht="13.5" thickBot="1" x14ac:dyDescent="0.25">
      <c r="A6" s="43" t="s">
        <v>166</v>
      </c>
      <c r="B6" s="44" t="s">
        <v>22</v>
      </c>
      <c r="C6" s="44" t="s">
        <v>159</v>
      </c>
      <c r="D6" s="151">
        <v>2672.86</v>
      </c>
      <c r="E6" s="45" t="s">
        <v>22</v>
      </c>
    </row>
    <row r="7" spans="1:6" ht="13.5" thickBot="1" x14ac:dyDescent="0.25">
      <c r="A7" s="46"/>
      <c r="B7" s="16"/>
      <c r="C7" s="16"/>
      <c r="D7" s="16"/>
      <c r="E7" s="47"/>
    </row>
    <row r="8" spans="1:6" x14ac:dyDescent="0.2">
      <c r="A8" s="48" t="s">
        <v>26</v>
      </c>
      <c r="B8" s="41" t="s">
        <v>27</v>
      </c>
      <c r="C8" s="41" t="s">
        <v>23</v>
      </c>
      <c r="D8" s="41" t="s">
        <v>24</v>
      </c>
      <c r="E8" s="42" t="s">
        <v>25</v>
      </c>
    </row>
    <row r="9" spans="1:6" x14ac:dyDescent="0.2">
      <c r="A9" s="133" t="s">
        <v>28</v>
      </c>
      <c r="B9" s="50" t="s">
        <v>22</v>
      </c>
      <c r="C9" s="21" t="s">
        <v>22</v>
      </c>
      <c r="D9" s="51">
        <f>TRUNC(D6,2)</f>
        <v>2672.86</v>
      </c>
      <c r="E9" s="52" t="s">
        <v>22</v>
      </c>
      <c r="F9" s="131"/>
    </row>
    <row r="10" spans="1:6" ht="25.5" x14ac:dyDescent="0.2">
      <c r="A10" s="150" t="s">
        <v>160</v>
      </c>
      <c r="B10" s="50">
        <v>16</v>
      </c>
      <c r="C10" s="50" t="s">
        <v>161</v>
      </c>
      <c r="D10" s="132">
        <f>TRUNC((D9*200%/200)*B10,2)</f>
        <v>427.65</v>
      </c>
      <c r="E10" s="56" t="s">
        <v>163</v>
      </c>
      <c r="F10" s="131"/>
    </row>
    <row r="11" spans="1:6" ht="25.5" x14ac:dyDescent="0.2">
      <c r="A11" s="53" t="s">
        <v>29</v>
      </c>
      <c r="B11" s="50" t="s">
        <v>22</v>
      </c>
      <c r="C11" s="149" t="s">
        <v>162</v>
      </c>
      <c r="D11" s="55">
        <f>TRUNC(D10*5/25,2)</f>
        <v>85.53</v>
      </c>
      <c r="E11" s="56" t="s">
        <v>30</v>
      </c>
    </row>
    <row r="12" spans="1:6" ht="13.5" thickBot="1" x14ac:dyDescent="0.25">
      <c r="A12" s="59" t="s">
        <v>31</v>
      </c>
      <c r="B12" s="60" t="s">
        <v>22</v>
      </c>
      <c r="C12" s="61" t="s">
        <v>32</v>
      </c>
      <c r="D12" s="62">
        <f>SUM(D9:D11)</f>
        <v>3186.0400000000004</v>
      </c>
      <c r="E12" s="63" t="s">
        <v>22</v>
      </c>
    </row>
    <row r="13" spans="1:6" ht="13.5" thickBot="1" x14ac:dyDescent="0.25">
      <c r="A13" s="46"/>
      <c r="B13" s="64"/>
      <c r="C13" s="23"/>
      <c r="D13" s="16"/>
      <c r="E13" s="47"/>
    </row>
    <row r="14" spans="1:6" x14ac:dyDescent="0.2">
      <c r="A14" s="48" t="s">
        <v>33</v>
      </c>
      <c r="B14" s="41" t="s">
        <v>136</v>
      </c>
      <c r="C14" s="41" t="s">
        <v>23</v>
      </c>
      <c r="D14" s="41" t="s">
        <v>24</v>
      </c>
      <c r="E14" s="42" t="s">
        <v>25</v>
      </c>
    </row>
    <row r="15" spans="1:6" x14ac:dyDescent="0.2">
      <c r="A15" s="65" t="s">
        <v>34</v>
      </c>
      <c r="B15" s="66"/>
      <c r="C15" s="67"/>
      <c r="D15" s="68"/>
      <c r="E15" s="69"/>
    </row>
    <row r="16" spans="1:6" x14ac:dyDescent="0.2">
      <c r="A16" s="133" t="s">
        <v>188</v>
      </c>
      <c r="B16" s="138">
        <v>0.08</v>
      </c>
      <c r="C16" s="21" t="s">
        <v>35</v>
      </c>
      <c r="D16" s="70">
        <f t="shared" ref="D16:D22" si="0">TRUNC((B16)*$D$12,2)</f>
        <v>254.88</v>
      </c>
      <c r="E16" s="71" t="s">
        <v>36</v>
      </c>
    </row>
    <row r="17" spans="1:6" x14ac:dyDescent="0.2">
      <c r="A17" s="133" t="s">
        <v>189</v>
      </c>
      <c r="B17" s="138">
        <v>1.4999999999999999E-2</v>
      </c>
      <c r="C17" s="21" t="s">
        <v>37</v>
      </c>
      <c r="D17" s="70">
        <f t="shared" si="0"/>
        <v>47.79</v>
      </c>
      <c r="E17" s="71" t="s">
        <v>38</v>
      </c>
    </row>
    <row r="18" spans="1:6" x14ac:dyDescent="0.2">
      <c r="A18" s="133" t="s">
        <v>190</v>
      </c>
      <c r="B18" s="138">
        <v>0.01</v>
      </c>
      <c r="C18" s="21" t="s">
        <v>39</v>
      </c>
      <c r="D18" s="70">
        <f t="shared" si="0"/>
        <v>31.86</v>
      </c>
      <c r="E18" s="71" t="s">
        <v>40</v>
      </c>
    </row>
    <row r="19" spans="1:6" x14ac:dyDescent="0.2">
      <c r="A19" s="133" t="s">
        <v>191</v>
      </c>
      <c r="B19" s="138">
        <v>2E-3</v>
      </c>
      <c r="C19" s="21" t="s">
        <v>41</v>
      </c>
      <c r="D19" s="70">
        <f t="shared" si="0"/>
        <v>6.37</v>
      </c>
      <c r="E19" s="71" t="s">
        <v>42</v>
      </c>
    </row>
    <row r="20" spans="1:6" x14ac:dyDescent="0.2">
      <c r="A20" s="133" t="s">
        <v>192</v>
      </c>
      <c r="B20" s="138">
        <v>6.0000000000000001E-3</v>
      </c>
      <c r="C20" s="21" t="s">
        <v>43</v>
      </c>
      <c r="D20" s="70">
        <f t="shared" si="0"/>
        <v>19.11</v>
      </c>
      <c r="E20" s="71" t="s">
        <v>44</v>
      </c>
    </row>
    <row r="21" spans="1:6" x14ac:dyDescent="0.2">
      <c r="A21" s="133" t="s">
        <v>193</v>
      </c>
      <c r="B21" s="138">
        <v>2.5000000000000001E-2</v>
      </c>
      <c r="C21" s="21" t="s">
        <v>45</v>
      </c>
      <c r="D21" s="70">
        <f t="shared" si="0"/>
        <v>79.650000000000006</v>
      </c>
      <c r="E21" s="71" t="s">
        <v>46</v>
      </c>
    </row>
    <row r="22" spans="1:6" x14ac:dyDescent="0.2">
      <c r="A22" s="134" t="s">
        <v>194</v>
      </c>
      <c r="B22" s="136">
        <f>'Quadro resumo'!C28</f>
        <v>0</v>
      </c>
      <c r="C22" s="21" t="s">
        <v>47</v>
      </c>
      <c r="D22" s="73">
        <f t="shared" si="0"/>
        <v>0</v>
      </c>
      <c r="E22" s="71" t="s">
        <v>48</v>
      </c>
    </row>
    <row r="23" spans="1:6" ht="13.5" thickBot="1" x14ac:dyDescent="0.25">
      <c r="A23" s="59" t="s">
        <v>49</v>
      </c>
      <c r="B23" s="141">
        <f>SUM(B16:B22)</f>
        <v>0.13800000000000001</v>
      </c>
      <c r="C23" s="60" t="s">
        <v>32</v>
      </c>
      <c r="D23" s="75">
        <f>SUM(D16:D22)</f>
        <v>439.66000000000008</v>
      </c>
      <c r="E23" s="63" t="s">
        <v>22</v>
      </c>
      <c r="F23" s="131"/>
    </row>
    <row r="24" spans="1:6" ht="13.5" thickBot="1" x14ac:dyDescent="0.25">
      <c r="A24" s="46"/>
      <c r="B24" s="16"/>
      <c r="C24" s="16"/>
      <c r="D24" s="16"/>
      <c r="E24" s="47"/>
    </row>
    <row r="25" spans="1:6" x14ac:dyDescent="0.2">
      <c r="A25" s="48" t="s">
        <v>50</v>
      </c>
      <c r="B25" s="41" t="s">
        <v>136</v>
      </c>
      <c r="C25" s="41" t="s">
        <v>23</v>
      </c>
      <c r="D25" s="41" t="s">
        <v>24</v>
      </c>
      <c r="E25" s="42" t="s">
        <v>25</v>
      </c>
    </row>
    <row r="26" spans="1:6" x14ac:dyDescent="0.2">
      <c r="A26" s="133" t="s">
        <v>51</v>
      </c>
      <c r="B26" s="140">
        <f>1/12</f>
        <v>8.3333333333333329E-2</v>
      </c>
      <c r="C26" s="21" t="s">
        <v>139</v>
      </c>
      <c r="D26" s="73">
        <f t="shared" ref="D26:D33" si="1">TRUNC((B26)*$D$12,2)</f>
        <v>265.5</v>
      </c>
      <c r="E26" s="71" t="s">
        <v>52</v>
      </c>
    </row>
    <row r="27" spans="1:6" x14ac:dyDescent="0.2">
      <c r="A27" s="133" t="s">
        <v>53</v>
      </c>
      <c r="B27" s="138">
        <f>((1+1/3)/12)</f>
        <v>0.1111111111111111</v>
      </c>
      <c r="C27" s="21" t="s">
        <v>140</v>
      </c>
      <c r="D27" s="73">
        <f t="shared" si="1"/>
        <v>354</v>
      </c>
      <c r="E27" s="71" t="s">
        <v>54</v>
      </c>
    </row>
    <row r="28" spans="1:6" x14ac:dyDescent="0.2">
      <c r="A28" s="49" t="s">
        <v>55</v>
      </c>
      <c r="B28" s="138">
        <f>((7/30)/12)</f>
        <v>1.9444444444444445E-2</v>
      </c>
      <c r="C28" s="21" t="s">
        <v>141</v>
      </c>
      <c r="D28" s="73">
        <f t="shared" si="1"/>
        <v>61.95</v>
      </c>
      <c r="E28" s="71" t="s">
        <v>56</v>
      </c>
    </row>
    <row r="29" spans="1:6" x14ac:dyDescent="0.2">
      <c r="A29" s="49" t="s">
        <v>57</v>
      </c>
      <c r="B29" s="138">
        <f>((5/30)/12)</f>
        <v>1.3888888888888888E-2</v>
      </c>
      <c r="C29" s="21" t="s">
        <v>142</v>
      </c>
      <c r="D29" s="73">
        <f t="shared" si="1"/>
        <v>44.25</v>
      </c>
      <c r="E29" s="71" t="s">
        <v>58</v>
      </c>
    </row>
    <row r="30" spans="1:6" x14ac:dyDescent="0.2">
      <c r="A30" s="49" t="s">
        <v>59</v>
      </c>
      <c r="B30" s="138">
        <f>((15/30)/12)*1%</f>
        <v>4.1666666666666664E-4</v>
      </c>
      <c r="C30" s="21" t="s">
        <v>144</v>
      </c>
      <c r="D30" s="73">
        <f t="shared" si="1"/>
        <v>1.32</v>
      </c>
      <c r="E30" s="71" t="s">
        <v>60</v>
      </c>
    </row>
    <row r="31" spans="1:6" x14ac:dyDescent="0.2">
      <c r="A31" s="49" t="s">
        <v>61</v>
      </c>
      <c r="B31" s="138">
        <f>(1/30)/12</f>
        <v>2.7777777777777779E-3</v>
      </c>
      <c r="C31" s="76" t="s">
        <v>143</v>
      </c>
      <c r="D31" s="73">
        <f t="shared" si="1"/>
        <v>8.85</v>
      </c>
      <c r="E31" s="71" t="s">
        <v>62</v>
      </c>
    </row>
    <row r="32" spans="1:6" ht="25.5" x14ac:dyDescent="0.2">
      <c r="A32" s="49" t="s">
        <v>63</v>
      </c>
      <c r="B32" s="138">
        <f>((1+1/3)/12)*1.5%*(4/12)</f>
        <v>5.5555555555555545E-4</v>
      </c>
      <c r="C32" s="57" t="s">
        <v>154</v>
      </c>
      <c r="D32" s="73">
        <f t="shared" si="1"/>
        <v>1.77</v>
      </c>
      <c r="E32" s="77" t="s">
        <v>64</v>
      </c>
    </row>
    <row r="33" spans="1:5" ht="14.25" x14ac:dyDescent="0.2">
      <c r="A33" s="49" t="s">
        <v>65</v>
      </c>
      <c r="B33" s="138">
        <f>((5/30)/12)*1.5%</f>
        <v>2.0833333333333332E-4</v>
      </c>
      <c r="C33" s="21" t="s">
        <v>147</v>
      </c>
      <c r="D33" s="73">
        <f t="shared" si="1"/>
        <v>0.66</v>
      </c>
      <c r="E33" s="71" t="s">
        <v>66</v>
      </c>
    </row>
    <row r="34" spans="1:5" ht="13.5" thickBot="1" x14ac:dyDescent="0.25">
      <c r="A34" s="59" t="s">
        <v>67</v>
      </c>
      <c r="B34" s="141">
        <f>SUM(B26:B33)</f>
        <v>0.23173611111111109</v>
      </c>
      <c r="C34" s="60" t="s">
        <v>32</v>
      </c>
      <c r="D34" s="61">
        <f>SUM(D26:D33)</f>
        <v>738.30000000000007</v>
      </c>
      <c r="E34" s="63" t="s">
        <v>22</v>
      </c>
    </row>
    <row r="35" spans="1:5" ht="14.25" x14ac:dyDescent="0.2">
      <c r="A35" s="46" t="s">
        <v>68</v>
      </c>
      <c r="B35" s="16"/>
      <c r="C35" s="16" t="s">
        <v>69</v>
      </c>
      <c r="D35" s="16"/>
      <c r="E35" s="47"/>
    </row>
    <row r="36" spans="1:5" ht="14.25" x14ac:dyDescent="0.2">
      <c r="A36" s="46" t="s">
        <v>70</v>
      </c>
      <c r="B36" s="16"/>
      <c r="C36" s="16" t="s">
        <v>155</v>
      </c>
      <c r="D36" s="78"/>
      <c r="E36" s="47"/>
    </row>
    <row r="37" spans="1:5" ht="15" thickBot="1" x14ac:dyDescent="0.25">
      <c r="A37" s="46" t="s">
        <v>71</v>
      </c>
      <c r="B37" s="16"/>
      <c r="C37" s="16" t="s">
        <v>137</v>
      </c>
      <c r="D37" s="78"/>
      <c r="E37" s="47"/>
    </row>
    <row r="38" spans="1:5" x14ac:dyDescent="0.2">
      <c r="A38" s="48" t="s">
        <v>72</v>
      </c>
      <c r="B38" s="41" t="s">
        <v>136</v>
      </c>
      <c r="C38" s="41" t="s">
        <v>23</v>
      </c>
      <c r="D38" s="41" t="s">
        <v>24</v>
      </c>
      <c r="E38" s="42" t="s">
        <v>25</v>
      </c>
    </row>
    <row r="39" spans="1:5" x14ac:dyDescent="0.2">
      <c r="A39" s="49" t="s">
        <v>73</v>
      </c>
      <c r="B39" s="140">
        <f>25%*(1/12)</f>
        <v>2.0833333333333332E-2</v>
      </c>
      <c r="C39" s="21" t="s">
        <v>148</v>
      </c>
      <c r="D39" s="73">
        <f>TRUNC(B39*$D$12,2)</f>
        <v>66.37</v>
      </c>
      <c r="E39" s="71" t="s">
        <v>74</v>
      </c>
    </row>
    <row r="40" spans="1:5" x14ac:dyDescent="0.2">
      <c r="A40" s="49" t="s">
        <v>75</v>
      </c>
      <c r="B40" s="138">
        <f>25%*(1/12)</f>
        <v>2.0833333333333332E-2</v>
      </c>
      <c r="C40" s="21" t="s">
        <v>148</v>
      </c>
      <c r="D40" s="73">
        <f>TRUNC(B40*$D$12,2)</f>
        <v>66.37</v>
      </c>
      <c r="E40" s="71" t="s">
        <v>76</v>
      </c>
    </row>
    <row r="41" spans="1:5" x14ac:dyDescent="0.2">
      <c r="A41" s="49" t="s">
        <v>77</v>
      </c>
      <c r="B41" s="138">
        <f>40%*8%</f>
        <v>3.2000000000000001E-2</v>
      </c>
      <c r="C41" s="21" t="s">
        <v>145</v>
      </c>
      <c r="D41" s="73">
        <f>TRUNC(B41*$D$12,2)</f>
        <v>101.95</v>
      </c>
      <c r="E41" s="71" t="s">
        <v>78</v>
      </c>
    </row>
    <row r="42" spans="1:5" ht="14.25" x14ac:dyDescent="0.2">
      <c r="A42" s="49" t="s">
        <v>79</v>
      </c>
      <c r="B42" s="138">
        <f>10%*8%</f>
        <v>8.0000000000000002E-3</v>
      </c>
      <c r="C42" s="21" t="s">
        <v>146</v>
      </c>
      <c r="D42" s="73">
        <f>TRUNC(B42*$D$12,2)</f>
        <v>25.48</v>
      </c>
      <c r="E42" s="71" t="s">
        <v>80</v>
      </c>
    </row>
    <row r="43" spans="1:5" ht="13.5" thickBot="1" x14ac:dyDescent="0.25">
      <c r="A43" s="59" t="s">
        <v>81</v>
      </c>
      <c r="B43" s="137">
        <f>SUM(B39:B42)</f>
        <v>8.1666666666666665E-2</v>
      </c>
      <c r="C43" s="60" t="s">
        <v>32</v>
      </c>
      <c r="D43" s="61">
        <f>SUM(D39:D42)</f>
        <v>260.17</v>
      </c>
      <c r="E43" s="63" t="s">
        <v>22</v>
      </c>
    </row>
    <row r="44" spans="1:5" x14ac:dyDescent="0.2">
      <c r="A44" s="46" t="s">
        <v>82</v>
      </c>
      <c r="B44" s="16"/>
      <c r="C44" s="16" t="s">
        <v>83</v>
      </c>
      <c r="D44" s="16"/>
      <c r="E44" s="47"/>
    </row>
    <row r="45" spans="1:5" ht="27" customHeight="1" thickBot="1" x14ac:dyDescent="0.25">
      <c r="A45" s="211" t="s">
        <v>84</v>
      </c>
      <c r="B45" s="212"/>
      <c r="C45" s="16" t="s">
        <v>85</v>
      </c>
      <c r="D45" s="79"/>
      <c r="E45" s="80"/>
    </row>
    <row r="46" spans="1:5" x14ac:dyDescent="0.2">
      <c r="A46" s="48" t="s">
        <v>86</v>
      </c>
      <c r="B46" s="41" t="s">
        <v>136</v>
      </c>
      <c r="C46" s="41" t="s">
        <v>23</v>
      </c>
      <c r="D46" s="41" t="s">
        <v>24</v>
      </c>
      <c r="E46" s="42" t="s">
        <v>25</v>
      </c>
    </row>
    <row r="47" spans="1:5" x14ac:dyDescent="0.2">
      <c r="A47" s="49" t="s">
        <v>87</v>
      </c>
      <c r="B47" s="140">
        <f>B23*B34</f>
        <v>3.1979583333333332E-2</v>
      </c>
      <c r="C47" s="21" t="s">
        <v>138</v>
      </c>
      <c r="D47" s="73">
        <f>TRUNC((B47)*$D$12,2)</f>
        <v>101.88</v>
      </c>
      <c r="E47" s="52" t="s">
        <v>22</v>
      </c>
    </row>
    <row r="48" spans="1:5" ht="13.5" thickBot="1" x14ac:dyDescent="0.25">
      <c r="A48" s="59" t="s">
        <v>88</v>
      </c>
      <c r="B48" s="141">
        <f>B47</f>
        <v>3.1979583333333332E-2</v>
      </c>
      <c r="C48" s="60" t="s">
        <v>32</v>
      </c>
      <c r="D48" s="61">
        <f>D47</f>
        <v>101.88</v>
      </c>
      <c r="E48" s="63" t="s">
        <v>22</v>
      </c>
    </row>
    <row r="49" spans="1:5" ht="13.5" thickBot="1" x14ac:dyDescent="0.25">
      <c r="A49" s="46"/>
      <c r="B49" s="16"/>
      <c r="C49" s="16"/>
      <c r="D49" s="16"/>
      <c r="E49" s="47"/>
    </row>
    <row r="50" spans="1:5" x14ac:dyDescent="0.2">
      <c r="A50" s="48" t="s">
        <v>89</v>
      </c>
      <c r="B50" s="41" t="s">
        <v>136</v>
      </c>
      <c r="C50" s="41" t="s">
        <v>23</v>
      </c>
      <c r="D50" s="41" t="s">
        <v>24</v>
      </c>
      <c r="E50" s="42" t="s">
        <v>25</v>
      </c>
    </row>
    <row r="51" spans="1:5" x14ac:dyDescent="0.2">
      <c r="A51" s="81" t="s">
        <v>90</v>
      </c>
      <c r="B51" s="139">
        <f>(B16*B39)</f>
        <v>1.6666666666666666E-3</v>
      </c>
      <c r="C51" s="21" t="s">
        <v>91</v>
      </c>
      <c r="D51" s="73">
        <f>TRUNC((B51)*$D$12,2)</f>
        <v>5.31</v>
      </c>
      <c r="E51" s="71" t="s">
        <v>92</v>
      </c>
    </row>
    <row r="52" spans="1:5" ht="25.5" x14ac:dyDescent="0.2">
      <c r="A52" s="72" t="s">
        <v>93</v>
      </c>
      <c r="B52" s="138">
        <f>(B16*B30)</f>
        <v>3.3333333333333335E-5</v>
      </c>
      <c r="C52" s="21" t="s">
        <v>94</v>
      </c>
      <c r="D52" s="73">
        <f>TRUNC((B52)*$D$12,2)</f>
        <v>0.1</v>
      </c>
      <c r="E52" s="52" t="s">
        <v>22</v>
      </c>
    </row>
    <row r="53" spans="1:5" ht="13.5" thickBot="1" x14ac:dyDescent="0.25">
      <c r="A53" s="59" t="s">
        <v>95</v>
      </c>
      <c r="B53" s="141">
        <f>SUM(B51:B52)</f>
        <v>1.6999999999999999E-3</v>
      </c>
      <c r="C53" s="60" t="s">
        <v>32</v>
      </c>
      <c r="D53" s="75">
        <f>SUM(D51:D52)</f>
        <v>5.4099999999999993</v>
      </c>
      <c r="E53" s="63" t="s">
        <v>22</v>
      </c>
    </row>
    <row r="54" spans="1:5" ht="27" customHeight="1" thickBot="1" x14ac:dyDescent="0.25">
      <c r="A54" s="213" t="s">
        <v>96</v>
      </c>
      <c r="B54" s="214"/>
      <c r="C54" s="214"/>
      <c r="D54" s="214"/>
      <c r="E54" s="215"/>
    </row>
    <row r="55" spans="1:5" x14ac:dyDescent="0.2">
      <c r="A55" s="48" t="s">
        <v>97</v>
      </c>
      <c r="B55" s="41" t="s">
        <v>136</v>
      </c>
      <c r="C55" s="41" t="s">
        <v>23</v>
      </c>
      <c r="D55" s="41" t="s">
        <v>24</v>
      </c>
      <c r="E55" s="42" t="s">
        <v>25</v>
      </c>
    </row>
    <row r="56" spans="1:5" ht="38.25" x14ac:dyDescent="0.2">
      <c r="A56" s="72" t="s">
        <v>98</v>
      </c>
      <c r="B56" s="82">
        <f>B23*(13/12)*(4/12)*1.5%</f>
        <v>7.474999999999999E-4</v>
      </c>
      <c r="C56" s="82" t="s">
        <v>157</v>
      </c>
      <c r="D56" s="73">
        <f>TRUNC((B56)*$D$12,2)</f>
        <v>2.38</v>
      </c>
      <c r="E56" s="77" t="s">
        <v>156</v>
      </c>
    </row>
    <row r="57" spans="1:5" ht="13.5" thickBot="1" x14ac:dyDescent="0.25">
      <c r="A57" s="59" t="s">
        <v>99</v>
      </c>
      <c r="B57" s="141">
        <f>B56</f>
        <v>7.474999999999999E-4</v>
      </c>
      <c r="C57" s="60" t="s">
        <v>32</v>
      </c>
      <c r="D57" s="61">
        <f>D56</f>
        <v>2.38</v>
      </c>
      <c r="E57" s="63" t="s">
        <v>22</v>
      </c>
    </row>
    <row r="58" spans="1:5" ht="13.5" thickBot="1" x14ac:dyDescent="0.25">
      <c r="A58" s="46"/>
      <c r="B58" s="16"/>
      <c r="C58" s="16"/>
      <c r="D58" s="16"/>
      <c r="E58" s="47"/>
    </row>
    <row r="59" spans="1:5" ht="13.5" thickBot="1" x14ac:dyDescent="0.25">
      <c r="A59" s="83" t="s">
        <v>100</v>
      </c>
      <c r="B59" s="142">
        <f>B23+B34+B43+B48+B53+B57</f>
        <v>0.48582986111111109</v>
      </c>
      <c r="C59" s="85" t="s">
        <v>32</v>
      </c>
      <c r="D59" s="86">
        <f>SUM(D23,D34,D43,D48,D53,D57)</f>
        <v>1547.8000000000004</v>
      </c>
      <c r="E59" s="87" t="s">
        <v>22</v>
      </c>
    </row>
    <row r="60" spans="1:5" ht="13.5" thickBot="1" x14ac:dyDescent="0.25">
      <c r="A60" s="46"/>
      <c r="B60" s="16"/>
      <c r="C60" s="16"/>
      <c r="D60" s="88"/>
      <c r="E60" s="47"/>
    </row>
    <row r="61" spans="1:5" x14ac:dyDescent="0.2">
      <c r="A61" s="48" t="s">
        <v>101</v>
      </c>
      <c r="B61" s="41" t="s">
        <v>24</v>
      </c>
      <c r="C61" s="41" t="s">
        <v>23</v>
      </c>
      <c r="D61" s="41" t="s">
        <v>24</v>
      </c>
      <c r="E61" s="42" t="s">
        <v>25</v>
      </c>
    </row>
    <row r="62" spans="1:5" ht="25.5" x14ac:dyDescent="0.2">
      <c r="A62" s="133" t="s">
        <v>102</v>
      </c>
      <c r="B62" s="90">
        <f>TRUNC(20.8*22,2)</f>
        <v>457.6</v>
      </c>
      <c r="C62" s="89" t="s">
        <v>178</v>
      </c>
      <c r="D62" s="51">
        <f>B62</f>
        <v>457.6</v>
      </c>
      <c r="E62" s="58" t="s">
        <v>179</v>
      </c>
    </row>
    <row r="63" spans="1:5" ht="25.5" customHeight="1" x14ac:dyDescent="0.2">
      <c r="A63" s="133" t="s">
        <v>103</v>
      </c>
      <c r="B63" s="90">
        <f>TRUNC(4.5*22*4,2)</f>
        <v>396</v>
      </c>
      <c r="C63" s="89" t="s">
        <v>167</v>
      </c>
      <c r="D63" s="51">
        <f t="shared" ref="D63:D65" si="2">B63</f>
        <v>396</v>
      </c>
      <c r="E63" s="58" t="s">
        <v>151</v>
      </c>
    </row>
    <row r="64" spans="1:5" x14ac:dyDescent="0.2">
      <c r="A64" s="145" t="s">
        <v>104</v>
      </c>
      <c r="B64" s="124">
        <f>'Quadro resumo'!C20*4</f>
        <v>0</v>
      </c>
      <c r="C64" s="21" t="str">
        <f>" Valor * 4"</f>
        <v xml:space="preserve"> Valor * 4</v>
      </c>
      <c r="D64" s="92">
        <f t="shared" si="2"/>
        <v>0</v>
      </c>
      <c r="E64" s="58" t="s">
        <v>164</v>
      </c>
    </row>
    <row r="65" spans="1:5" x14ac:dyDescent="0.2">
      <c r="A65" s="146" t="s">
        <v>127</v>
      </c>
      <c r="B65" s="124">
        <f>ROUNDUP(('Quadro resumo'!C21*4)/12,2)</f>
        <v>0</v>
      </c>
      <c r="C65" s="50" t="str">
        <f>"Valor * 4 / 12"</f>
        <v>Valor * 4 / 12</v>
      </c>
      <c r="D65" s="130">
        <f t="shared" si="2"/>
        <v>0</v>
      </c>
      <c r="E65" s="58" t="s">
        <v>164</v>
      </c>
    </row>
    <row r="66" spans="1:5" x14ac:dyDescent="0.2">
      <c r="A66" s="134" t="s">
        <v>105</v>
      </c>
      <c r="B66" s="124">
        <f>IF(B63&gt;=TRUNC(0.06*D9,2),TRUNC(-0.06*D9,2),-B63)</f>
        <v>-160.37</v>
      </c>
      <c r="C66" s="21" t="s">
        <v>106</v>
      </c>
      <c r="D66" s="70">
        <f>B66</f>
        <v>-160.37</v>
      </c>
      <c r="E66" s="93" t="s">
        <v>107</v>
      </c>
    </row>
    <row r="67" spans="1:5" ht="25.5" customHeight="1" x14ac:dyDescent="0.2">
      <c r="A67" s="135" t="s">
        <v>131</v>
      </c>
      <c r="B67" s="125">
        <f>ROUNDUP('Quadro resumo'!C16/12,2)</f>
        <v>0</v>
      </c>
      <c r="C67" s="50" t="s">
        <v>182</v>
      </c>
      <c r="D67" s="55">
        <f>B67</f>
        <v>0</v>
      </c>
      <c r="E67" s="56" t="s">
        <v>108</v>
      </c>
    </row>
    <row r="68" spans="1:5" ht="38.25" customHeight="1" x14ac:dyDescent="0.2">
      <c r="A68" s="135" t="s">
        <v>123</v>
      </c>
      <c r="B68" s="125">
        <f>TRUNC('Quadro resumo'!C25,2)</f>
        <v>0</v>
      </c>
      <c r="C68" s="50" t="s">
        <v>182</v>
      </c>
      <c r="D68" s="55">
        <f>B68</f>
        <v>0</v>
      </c>
      <c r="E68" s="56" t="s">
        <v>124</v>
      </c>
    </row>
    <row r="69" spans="1:5" ht="13.5" thickBot="1" x14ac:dyDescent="0.25">
      <c r="A69" s="59" t="s">
        <v>109</v>
      </c>
      <c r="B69" s="74" t="s">
        <v>22</v>
      </c>
      <c r="C69" s="60" t="s">
        <v>32</v>
      </c>
      <c r="D69" s="61">
        <f>SUM(D62:D68)</f>
        <v>693.23</v>
      </c>
      <c r="E69" s="63" t="s">
        <v>22</v>
      </c>
    </row>
    <row r="70" spans="1:5" ht="13.5" thickBot="1" x14ac:dyDescent="0.25">
      <c r="A70" s="94"/>
      <c r="B70" s="95"/>
      <c r="C70" s="95"/>
      <c r="D70" s="95"/>
      <c r="E70" s="96"/>
    </row>
    <row r="71" spans="1:5" ht="12.75" customHeight="1" thickBot="1" x14ac:dyDescent="0.25">
      <c r="A71" s="97" t="s">
        <v>110</v>
      </c>
      <c r="B71" s="84" t="s">
        <v>22</v>
      </c>
      <c r="C71" s="84" t="s">
        <v>111</v>
      </c>
      <c r="D71" s="98">
        <f>SUM(D12,D59,D69)</f>
        <v>5427.0700000000015</v>
      </c>
      <c r="E71" s="87" t="s">
        <v>22</v>
      </c>
    </row>
    <row r="72" spans="1:5" ht="13.5" thickBot="1" x14ac:dyDescent="0.25">
      <c r="A72" s="99"/>
      <c r="B72" s="100"/>
      <c r="C72" s="100"/>
      <c r="D72" s="100"/>
      <c r="E72" s="101"/>
    </row>
    <row r="73" spans="1:5" x14ac:dyDescent="0.2">
      <c r="A73" s="48" t="s">
        <v>112</v>
      </c>
      <c r="B73" s="41" t="s">
        <v>136</v>
      </c>
      <c r="C73" s="41" t="s">
        <v>23</v>
      </c>
      <c r="D73" s="41" t="s">
        <v>24</v>
      </c>
      <c r="E73" s="42" t="s">
        <v>25</v>
      </c>
    </row>
    <row r="74" spans="1:5" ht="12.75" customHeight="1" x14ac:dyDescent="0.2">
      <c r="A74" s="49" t="s">
        <v>133</v>
      </c>
      <c r="B74" s="143">
        <f>'Quadro resumo'!C31</f>
        <v>0</v>
      </c>
      <c r="C74" s="202" t="s">
        <v>113</v>
      </c>
      <c r="D74" s="91">
        <f>TRUNC(B74*$D$71,2)</f>
        <v>0</v>
      </c>
      <c r="E74" s="102" t="s">
        <v>22</v>
      </c>
    </row>
    <row r="75" spans="1:5" x14ac:dyDescent="0.2">
      <c r="A75" s="49" t="s">
        <v>15</v>
      </c>
      <c r="B75" s="143">
        <f>'Quadro resumo'!C32</f>
        <v>0</v>
      </c>
      <c r="C75" s="216"/>
      <c r="D75" s="91">
        <f>TRUNC(B75*$D$71,2)</f>
        <v>0</v>
      </c>
      <c r="E75" s="102" t="s">
        <v>22</v>
      </c>
    </row>
    <row r="76" spans="1:5" ht="13.5" thickBot="1" x14ac:dyDescent="0.25">
      <c r="A76" s="59" t="s">
        <v>114</v>
      </c>
      <c r="B76" s="144">
        <f>SUM(B74:B75)</f>
        <v>0</v>
      </c>
      <c r="C76" s="60" t="s">
        <v>32</v>
      </c>
      <c r="D76" s="61">
        <f>SUM(D74:D75)</f>
        <v>0</v>
      </c>
      <c r="E76" s="63" t="s">
        <v>22</v>
      </c>
    </row>
    <row r="77" spans="1:5" ht="13.5" thickBot="1" x14ac:dyDescent="0.25">
      <c r="A77" s="103"/>
      <c r="B77" s="16"/>
      <c r="C77" s="16"/>
      <c r="D77" s="16"/>
      <c r="E77" s="47"/>
    </row>
    <row r="78" spans="1:5" x14ac:dyDescent="0.2">
      <c r="A78" s="104" t="s">
        <v>115</v>
      </c>
      <c r="B78" s="41" t="s">
        <v>136</v>
      </c>
      <c r="C78" s="41" t="s">
        <v>23</v>
      </c>
      <c r="D78" s="41" t="s">
        <v>24</v>
      </c>
      <c r="E78" s="42" t="s">
        <v>25</v>
      </c>
    </row>
    <row r="79" spans="1:5" x14ac:dyDescent="0.2">
      <c r="A79" s="49" t="s">
        <v>17</v>
      </c>
      <c r="B79" s="136">
        <f>'Quadro resumo'!C39</f>
        <v>0</v>
      </c>
      <c r="C79" s="202" t="s">
        <v>116</v>
      </c>
      <c r="D79" s="73">
        <f>TRUNC((($D$71+$D$76)/(1-(($B$79+$B$80+$B$81+$B$82))))*(B79),2)</f>
        <v>0</v>
      </c>
      <c r="E79" s="102" t="s">
        <v>22</v>
      </c>
    </row>
    <row r="80" spans="1:5" x14ac:dyDescent="0.2">
      <c r="A80" s="49" t="s">
        <v>18</v>
      </c>
      <c r="B80" s="136">
        <f>'Quadro resumo'!C40</f>
        <v>0</v>
      </c>
      <c r="C80" s="203"/>
      <c r="D80" s="73">
        <f>TRUNC((($D$71+$D$76)/(1-(($B$79+$B$80+$B$81+$B$82))))*(B80),2)</f>
        <v>0</v>
      </c>
      <c r="E80" s="102" t="s">
        <v>22</v>
      </c>
    </row>
    <row r="81" spans="1:5" x14ac:dyDescent="0.2">
      <c r="A81" s="49" t="s">
        <v>19</v>
      </c>
      <c r="B81" s="136">
        <f>'Quadro resumo'!C41</f>
        <v>0</v>
      </c>
      <c r="C81" s="203"/>
      <c r="D81" s="73">
        <f>TRUNC((($D$71+$D$76)/(1-(($B$79+$B$80+$B$81+$B$82))))*(B81),2)</f>
        <v>0</v>
      </c>
      <c r="E81" s="102" t="s">
        <v>22</v>
      </c>
    </row>
    <row r="82" spans="1:5" x14ac:dyDescent="0.2">
      <c r="A82" s="53" t="s">
        <v>187</v>
      </c>
      <c r="B82" s="189">
        <v>4.4999999999999998E-2</v>
      </c>
      <c r="C82" s="204"/>
      <c r="D82" s="73">
        <f>TRUNC((($D$71+$D$76)/(1-(($B$79+$B$80+$B$81+$B$82))))*(B82),2)</f>
        <v>255.72</v>
      </c>
      <c r="E82" s="190"/>
    </row>
    <row r="83" spans="1:5" ht="13.5" thickBot="1" x14ac:dyDescent="0.25">
      <c r="A83" s="59" t="s">
        <v>117</v>
      </c>
      <c r="B83" s="141">
        <f>SUM(B79:B82)</f>
        <v>4.4999999999999998E-2</v>
      </c>
      <c r="C83" s="60" t="s">
        <v>32</v>
      </c>
      <c r="D83" s="61">
        <f>SUM(D79:D82)</f>
        <v>255.72</v>
      </c>
      <c r="E83" s="63" t="s">
        <v>22</v>
      </c>
    </row>
    <row r="84" spans="1:5" ht="13.5" thickBot="1" x14ac:dyDescent="0.25">
      <c r="A84" s="46"/>
      <c r="B84" s="16"/>
      <c r="C84" s="16"/>
      <c r="D84" s="16"/>
      <c r="E84" s="47"/>
    </row>
    <row r="85" spans="1:5" ht="13.5" thickBot="1" x14ac:dyDescent="0.25">
      <c r="A85" s="105" t="s">
        <v>118</v>
      </c>
      <c r="B85" s="106"/>
      <c r="C85" s="41" t="s">
        <v>23</v>
      </c>
      <c r="D85" s="106" t="s">
        <v>119</v>
      </c>
      <c r="E85" s="42" t="s">
        <v>120</v>
      </c>
    </row>
    <row r="86" spans="1:5" ht="13.5" thickBot="1" x14ac:dyDescent="0.25">
      <c r="A86" s="107"/>
      <c r="B86" s="108"/>
      <c r="C86" s="108" t="s">
        <v>121</v>
      </c>
      <c r="D86" s="109">
        <f>SUM(D71,D76,D83)</f>
        <v>5682.7900000000018</v>
      </c>
      <c r="E86" s="110">
        <f>D86*12</f>
        <v>68193.480000000025</v>
      </c>
    </row>
  </sheetData>
  <sheetProtection algorithmName="SHA-512" hashValue="oFUVLpL1LJgedOxPybNBKO2RN9UYOuLF3rGzetyn0EGyRrJFC2fsYHxmp/xZb+xcWknAVfO1qcdkStgCHQ62Ng==" saltValue="ZYTx+UhSsMUFn+0B/1m4RA==" spinCount="100000" sheet="1" objects="1" scenarios="1"/>
  <mergeCells count="6">
    <mergeCell ref="C79:C82"/>
    <mergeCell ref="A1:E1"/>
    <mergeCell ref="A3:E3"/>
    <mergeCell ref="A45:B45"/>
    <mergeCell ref="A54:E54"/>
    <mergeCell ref="C74:C7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4" sqref="A4"/>
    </sheetView>
  </sheetViews>
  <sheetFormatPr defaultRowHeight="15" x14ac:dyDescent="0.25"/>
  <cols>
    <col min="1" max="1" width="109.42578125" customWidth="1"/>
    <col min="2" max="2" width="26.85546875" customWidth="1"/>
    <col min="3" max="3" width="55.42578125" customWidth="1"/>
  </cols>
  <sheetData>
    <row r="1" spans="1:4" ht="49.5" customHeight="1" thickBot="1" x14ac:dyDescent="0.3">
      <c r="A1" s="217" t="s">
        <v>174</v>
      </c>
      <c r="B1" s="218"/>
      <c r="C1" s="219"/>
      <c r="D1" s="152"/>
    </row>
    <row r="2" spans="1:4" ht="16.5" thickTop="1" thickBot="1" x14ac:dyDescent="0.3">
      <c r="A2" s="156"/>
      <c r="B2" s="157"/>
      <c r="C2" s="158"/>
      <c r="D2" s="152"/>
    </row>
    <row r="3" spans="1:4" ht="16.5" thickTop="1" thickBot="1" x14ac:dyDescent="0.3">
      <c r="A3" s="159" t="s">
        <v>173</v>
      </c>
      <c r="B3" s="188" t="s">
        <v>172</v>
      </c>
      <c r="C3" s="154" t="s">
        <v>168</v>
      </c>
      <c r="D3" s="152"/>
    </row>
    <row r="4" spans="1:4" ht="16.5" thickTop="1" thickBot="1" x14ac:dyDescent="0.3">
      <c r="A4" s="160"/>
      <c r="B4" s="184"/>
      <c r="C4" s="161"/>
      <c r="D4" s="152"/>
    </row>
    <row r="5" spans="1:4" ht="16.5" thickTop="1" thickBot="1" x14ac:dyDescent="0.3">
      <c r="A5" s="160"/>
      <c r="B5" s="184"/>
      <c r="C5" s="161"/>
      <c r="D5" s="152"/>
    </row>
    <row r="6" spans="1:4" ht="16.5" thickTop="1" thickBot="1" x14ac:dyDescent="0.3">
      <c r="A6" s="160"/>
      <c r="B6" s="185"/>
      <c r="C6" s="161"/>
      <c r="D6" s="152"/>
    </row>
    <row r="7" spans="1:4" ht="16.5" thickTop="1" thickBot="1" x14ac:dyDescent="0.3">
      <c r="A7" s="160"/>
      <c r="B7" s="185"/>
      <c r="C7" s="161"/>
      <c r="D7" s="152"/>
    </row>
    <row r="8" spans="1:4" ht="16.5" thickTop="1" thickBot="1" x14ac:dyDescent="0.3">
      <c r="A8" s="160"/>
      <c r="B8" s="185"/>
      <c r="C8" s="161"/>
      <c r="D8" s="152"/>
    </row>
    <row r="9" spans="1:4" ht="16.5" thickTop="1" thickBot="1" x14ac:dyDescent="0.3">
      <c r="A9" s="160"/>
      <c r="B9" s="185"/>
      <c r="C9" s="161"/>
      <c r="D9" s="152"/>
    </row>
    <row r="10" spans="1:4" ht="16.5" thickTop="1" thickBot="1" x14ac:dyDescent="0.3">
      <c r="A10" s="160"/>
      <c r="B10" s="185"/>
      <c r="C10" s="161"/>
      <c r="D10" s="152"/>
    </row>
    <row r="11" spans="1:4" ht="16.5" thickTop="1" thickBot="1" x14ac:dyDescent="0.3">
      <c r="A11" s="160"/>
      <c r="B11" s="185"/>
      <c r="C11" s="161"/>
      <c r="D11" s="152"/>
    </row>
    <row r="12" spans="1:4" ht="16.5" thickTop="1" thickBot="1" x14ac:dyDescent="0.3">
      <c r="A12" s="160"/>
      <c r="B12" s="185"/>
      <c r="C12" s="161"/>
      <c r="D12" s="152"/>
    </row>
    <row r="13" spans="1:4" ht="16.5" thickTop="1" thickBot="1" x14ac:dyDescent="0.3">
      <c r="A13" s="160"/>
      <c r="B13" s="185"/>
      <c r="C13" s="161"/>
      <c r="D13" s="152"/>
    </row>
    <row r="14" spans="1:4" ht="16.5" thickTop="1" thickBot="1" x14ac:dyDescent="0.3">
      <c r="A14" s="160"/>
      <c r="B14" s="185"/>
      <c r="C14" s="161"/>
      <c r="D14" s="152"/>
    </row>
    <row r="15" spans="1:4" ht="16.5" thickTop="1" thickBot="1" x14ac:dyDescent="0.3">
      <c r="A15" s="162"/>
      <c r="B15" s="186"/>
      <c r="C15" s="163"/>
      <c r="D15" s="152"/>
    </row>
    <row r="16" spans="1:4" ht="16.5" thickTop="1" thickBot="1" x14ac:dyDescent="0.3">
      <c r="A16" s="164" t="s">
        <v>177</v>
      </c>
      <c r="B16" s="187">
        <f>SUM(B4:B15)</f>
        <v>0</v>
      </c>
      <c r="C16" s="153"/>
    </row>
    <row r="17" spans="1:4" ht="16.5" thickTop="1" thickBot="1" x14ac:dyDescent="0.3">
      <c r="A17" s="165"/>
      <c r="B17" s="166"/>
      <c r="C17" s="167"/>
    </row>
    <row r="18" spans="1:4" ht="16.5" thickTop="1" thickBot="1" x14ac:dyDescent="0.3">
      <c r="A18" s="168" t="s">
        <v>169</v>
      </c>
      <c r="B18" s="168" t="s">
        <v>171</v>
      </c>
      <c r="C18" s="169" t="s">
        <v>168</v>
      </c>
      <c r="D18" s="152"/>
    </row>
    <row r="19" spans="1:4" ht="16.5" thickTop="1" thickBot="1" x14ac:dyDescent="0.3">
      <c r="A19" s="170"/>
      <c r="B19" s="171"/>
      <c r="C19" s="161"/>
      <c r="D19" s="152"/>
    </row>
    <row r="20" spans="1:4" ht="16.5" thickTop="1" thickBot="1" x14ac:dyDescent="0.3">
      <c r="A20" s="170"/>
      <c r="B20" s="171"/>
      <c r="C20" s="161"/>
      <c r="D20" s="152"/>
    </row>
    <row r="21" spans="1:4" ht="16.5" thickTop="1" thickBot="1" x14ac:dyDescent="0.3">
      <c r="A21" s="170"/>
      <c r="B21" s="171"/>
      <c r="C21" s="161"/>
      <c r="D21" s="152"/>
    </row>
    <row r="22" spans="1:4" ht="16.5" thickTop="1" thickBot="1" x14ac:dyDescent="0.3">
      <c r="A22" s="170"/>
      <c r="B22" s="171"/>
      <c r="C22" s="161"/>
      <c r="D22" s="152"/>
    </row>
    <row r="23" spans="1:4" ht="16.5" thickTop="1" thickBot="1" x14ac:dyDescent="0.3">
      <c r="A23" s="172"/>
      <c r="B23" s="160"/>
      <c r="C23" s="161"/>
      <c r="D23" s="152"/>
    </row>
    <row r="24" spans="1:4" ht="16.5" thickTop="1" thickBot="1" x14ac:dyDescent="0.3">
      <c r="A24" s="173"/>
      <c r="B24" s="174"/>
      <c r="C24" s="155"/>
      <c r="D24" s="152"/>
    </row>
    <row r="25" spans="1:4" ht="16.5" thickTop="1" thickBot="1" x14ac:dyDescent="0.3">
      <c r="A25" s="175" t="s">
        <v>170</v>
      </c>
      <c r="B25" s="176">
        <f>SUM(B19:B24)</f>
        <v>0</v>
      </c>
      <c r="C25" s="153"/>
    </row>
    <row r="26" spans="1:4" ht="16.5" thickTop="1" thickBot="1" x14ac:dyDescent="0.3">
      <c r="A26" s="177"/>
      <c r="B26" s="178"/>
      <c r="C26" s="152"/>
    </row>
    <row r="27" spans="1:4" ht="16.5" thickTop="1" thickBot="1" x14ac:dyDescent="0.3">
      <c r="A27" s="179" t="s">
        <v>175</v>
      </c>
      <c r="B27" s="180" t="s">
        <v>12</v>
      </c>
      <c r="C27" s="152"/>
    </row>
    <row r="28" spans="1:4" ht="16.5" thickTop="1" thickBot="1" x14ac:dyDescent="0.3">
      <c r="A28" s="170"/>
      <c r="B28" s="181"/>
      <c r="C28" s="152"/>
    </row>
    <row r="29" spans="1:4" ht="16.5" thickTop="1" thickBot="1" x14ac:dyDescent="0.3">
      <c r="A29" s="170"/>
      <c r="B29" s="181"/>
      <c r="C29" s="152"/>
    </row>
    <row r="30" spans="1:4" ht="16.5" thickTop="1" thickBot="1" x14ac:dyDescent="0.3">
      <c r="A30" s="173"/>
      <c r="B30" s="182"/>
      <c r="C30" s="152"/>
    </row>
    <row r="31" spans="1:4" ht="15.75" thickTop="1" x14ac:dyDescent="0.25">
      <c r="A31" s="175" t="s">
        <v>176</v>
      </c>
      <c r="B31" s="183">
        <f>SUM(B28:B30)</f>
        <v>0</v>
      </c>
    </row>
  </sheetData>
  <mergeCells count="1">
    <mergeCell ref="A1:C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Quadro resumo</vt:lpstr>
      <vt:lpstr>Posto 1</vt:lpstr>
      <vt:lpstr>Posto 2</vt:lpstr>
      <vt:lpstr>Posto 3</vt:lpstr>
      <vt:lpstr>Detalhamentos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Vieira de Souza Junior</dc:creator>
  <cp:lastModifiedBy>Sergio Vieira de Souza Junior</cp:lastModifiedBy>
  <dcterms:created xsi:type="dcterms:W3CDTF">2019-04-12T21:56:15Z</dcterms:created>
  <dcterms:modified xsi:type="dcterms:W3CDTF">2019-08-14T13:12:06Z</dcterms:modified>
</cp:coreProperties>
</file>