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J.AD - DIVISÃO ADMINISTRATIVA\AP.LC\Licitações\2019\Serviços de vigilância\"/>
    </mc:Choice>
  </mc:AlternateContent>
  <bookViews>
    <workbookView xWindow="0" yWindow="0" windowWidth="21600" windowHeight="9735"/>
  </bookViews>
  <sheets>
    <sheet name="Quadro resumo" sheetId="1" r:id="rId1"/>
    <sheet name="Posto 1" sheetId="2" r:id="rId2"/>
    <sheet name="Posto 2" sheetId="3" r:id="rId3"/>
    <sheet name="Posto 3" sheetId="4" r:id="rId4"/>
    <sheet name="Posto 4" sheetId="5" r:id="rId5"/>
    <sheet name="Posto 5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6" l="1"/>
  <c r="C67" i="5"/>
  <c r="C68" i="4"/>
  <c r="C70" i="2"/>
  <c r="C69" i="3"/>
  <c r="C69" i="2" l="1"/>
  <c r="B72" i="6" l="1"/>
  <c r="B69" i="5"/>
  <c r="B70" i="4"/>
  <c r="B71" i="3"/>
  <c r="B72" i="2"/>
  <c r="B70" i="6"/>
  <c r="B67" i="5"/>
  <c r="B68" i="4"/>
  <c r="B70" i="2"/>
  <c r="B73" i="5"/>
  <c r="B74" i="4"/>
  <c r="B69" i="3"/>
  <c r="B75" i="3"/>
  <c r="B76" i="2"/>
  <c r="B76" i="6"/>
  <c r="B65" i="6"/>
  <c r="B62" i="5"/>
  <c r="B63" i="4"/>
  <c r="B65" i="2"/>
  <c r="B64" i="3"/>
  <c r="B77" i="6"/>
  <c r="B74" i="5"/>
  <c r="B75" i="4"/>
  <c r="B76" i="3"/>
  <c r="B35" i="6" l="1"/>
  <c r="B32" i="5"/>
  <c r="B34" i="3"/>
  <c r="B35" i="2"/>
  <c r="D44" i="3" l="1"/>
  <c r="D43" i="3"/>
  <c r="D42" i="3"/>
  <c r="D41" i="3"/>
  <c r="D45" i="2"/>
  <c r="D44" i="2"/>
  <c r="D43" i="2"/>
  <c r="D42" i="2"/>
  <c r="B45" i="6"/>
  <c r="B44" i="6"/>
  <c r="B43" i="6"/>
  <c r="B42" i="6"/>
  <c r="B42" i="5"/>
  <c r="B41" i="5"/>
  <c r="B40" i="5"/>
  <c r="B39" i="5"/>
  <c r="B43" i="4"/>
  <c r="B42" i="4"/>
  <c r="B41" i="4"/>
  <c r="B40" i="4"/>
  <c r="B44" i="3"/>
  <c r="B43" i="3"/>
  <c r="B42" i="3"/>
  <c r="B41" i="3"/>
  <c r="B36" i="6"/>
  <c r="B34" i="6"/>
  <c r="B33" i="6"/>
  <c r="B32" i="6"/>
  <c r="B31" i="6"/>
  <c r="B30" i="6"/>
  <c r="B29" i="6"/>
  <c r="B33" i="5"/>
  <c r="B31" i="5"/>
  <c r="B30" i="5"/>
  <c r="B29" i="5"/>
  <c r="B28" i="5"/>
  <c r="B27" i="5"/>
  <c r="B26" i="5"/>
  <c r="B34" i="4"/>
  <c r="B33" i="4"/>
  <c r="B32" i="4"/>
  <c r="B31" i="4"/>
  <c r="B30" i="4"/>
  <c r="B29" i="4"/>
  <c r="B28" i="4"/>
  <c r="B27" i="4"/>
  <c r="B35" i="3"/>
  <c r="B33" i="3"/>
  <c r="B32" i="3"/>
  <c r="B31" i="3"/>
  <c r="B30" i="3"/>
  <c r="B29" i="3"/>
  <c r="B28" i="3"/>
  <c r="B65" i="4" l="1"/>
  <c r="B68" i="2"/>
  <c r="B66" i="4"/>
  <c r="B67" i="2" l="1"/>
  <c r="B67" i="3"/>
  <c r="B66" i="3"/>
  <c r="B65" i="5"/>
  <c r="B64" i="5"/>
  <c r="D68" i="2" l="1"/>
  <c r="D67" i="2"/>
  <c r="D67" i="3"/>
  <c r="D66" i="3"/>
  <c r="D12" i="6" l="1"/>
  <c r="D11" i="6"/>
  <c r="D13" i="6" s="1"/>
  <c r="D9" i="2" l="1"/>
  <c r="D9" i="3"/>
  <c r="D9" i="4"/>
  <c r="D9" i="5"/>
  <c r="B69" i="2"/>
  <c r="B68" i="3"/>
  <c r="B67" i="4"/>
  <c r="B66" i="5"/>
  <c r="B69" i="6"/>
  <c r="C69" i="6"/>
  <c r="C66" i="5"/>
  <c r="C67" i="4"/>
  <c r="C68" i="3"/>
  <c r="D10" i="5" l="1"/>
  <c r="D10" i="2"/>
  <c r="D10" i="3"/>
  <c r="D10" i="4"/>
  <c r="D12" i="2" l="1"/>
  <c r="D11" i="2"/>
  <c r="D11" i="3"/>
  <c r="D11" i="4"/>
  <c r="D12" i="3" l="1"/>
  <c r="D13" i="2"/>
  <c r="D10" i="6" l="1"/>
  <c r="B55" i="6"/>
  <c r="B54" i="6"/>
  <c r="B25" i="6"/>
  <c r="B51" i="5"/>
  <c r="B52" i="5"/>
  <c r="B52" i="4"/>
  <c r="B45" i="2" l="1"/>
  <c r="B44" i="2"/>
  <c r="B43" i="2"/>
  <c r="B42" i="2"/>
  <c r="B54" i="2" s="1"/>
  <c r="B33" i="2"/>
  <c r="B55" i="2" s="1"/>
  <c r="B36" i="2"/>
  <c r="B34" i="2"/>
  <c r="B32" i="2"/>
  <c r="B31" i="2"/>
  <c r="B30" i="2"/>
  <c r="B29" i="2"/>
  <c r="B53" i="4"/>
  <c r="B23" i="4"/>
  <c r="B53" i="3"/>
  <c r="B54" i="3"/>
  <c r="B22" i="5"/>
  <c r="B24" i="3"/>
  <c r="B25" i="2"/>
  <c r="B68" i="6" l="1"/>
  <c r="B67" i="6"/>
  <c r="B11" i="1" l="1"/>
  <c r="B10" i="1"/>
  <c r="B9" i="1"/>
  <c r="B8" i="1"/>
  <c r="B7" i="1"/>
  <c r="B77" i="2" l="1"/>
  <c r="B83" i="6"/>
  <c r="B84" i="6"/>
  <c r="D71" i="6" l="1"/>
  <c r="D72" i="6"/>
  <c r="D69" i="5"/>
  <c r="D68" i="5"/>
  <c r="D69" i="4"/>
  <c r="D70" i="3"/>
  <c r="D71" i="2"/>
  <c r="B90" i="6" l="1"/>
  <c r="B89" i="6"/>
  <c r="B88" i="6"/>
  <c r="B87" i="5"/>
  <c r="B86" i="5"/>
  <c r="B85" i="5"/>
  <c r="B81" i="5"/>
  <c r="B80" i="5"/>
  <c r="B88" i="4"/>
  <c r="B87" i="4"/>
  <c r="B86" i="4"/>
  <c r="B82" i="4"/>
  <c r="B81" i="4"/>
  <c r="B89" i="3"/>
  <c r="B88" i="3"/>
  <c r="B87" i="3"/>
  <c r="B83" i="3"/>
  <c r="B82" i="3"/>
  <c r="B90" i="2"/>
  <c r="B89" i="2"/>
  <c r="B88" i="2"/>
  <c r="B84" i="2"/>
  <c r="B83" i="2"/>
  <c r="B88" i="5" l="1"/>
  <c r="B91" i="2"/>
  <c r="B89" i="4"/>
  <c r="B91" i="6"/>
  <c r="B90" i="3"/>
  <c r="D76" i="6"/>
  <c r="D74" i="5"/>
  <c r="D73" i="5"/>
  <c r="D75" i="4"/>
  <c r="D74" i="4"/>
  <c r="D76" i="3"/>
  <c r="D75" i="3"/>
  <c r="C47" i="1"/>
  <c r="D77" i="6"/>
  <c r="D77" i="2"/>
  <c r="D76" i="2"/>
  <c r="D70" i="6"/>
  <c r="D69" i="6"/>
  <c r="D67" i="5"/>
  <c r="D66" i="5"/>
  <c r="D68" i="4"/>
  <c r="D67" i="4"/>
  <c r="D71" i="3"/>
  <c r="D69" i="3"/>
  <c r="D68" i="3"/>
  <c r="D70" i="2"/>
  <c r="D65" i="2"/>
  <c r="D69" i="2"/>
  <c r="D65" i="6"/>
  <c r="D62" i="5"/>
  <c r="B23" i="5"/>
  <c r="B56" i="5" s="1"/>
  <c r="D70" i="4"/>
  <c r="D63" i="4"/>
  <c r="B24" i="4"/>
  <c r="B57" i="4" s="1"/>
  <c r="D64" i="3"/>
  <c r="B25" i="3"/>
  <c r="B58" i="3" s="1"/>
  <c r="D72" i="2"/>
  <c r="B26" i="2"/>
  <c r="B59" i="2" s="1"/>
  <c r="C11" i="1"/>
  <c r="C10" i="1"/>
  <c r="C9" i="1"/>
  <c r="C8" i="1"/>
  <c r="C7" i="1"/>
  <c r="D74" i="6"/>
  <c r="D73" i="6"/>
  <c r="D68" i="6"/>
  <c r="D67" i="6"/>
  <c r="B26" i="6"/>
  <c r="B59" i="6" s="1"/>
  <c r="D9" i="6"/>
  <c r="D71" i="5"/>
  <c r="D70" i="5"/>
  <c r="D64" i="5"/>
  <c r="D72" i="4"/>
  <c r="D71" i="4"/>
  <c r="D65" i="4"/>
  <c r="D73" i="3"/>
  <c r="D72" i="3"/>
  <c r="D74" i="2"/>
  <c r="D73" i="2"/>
  <c r="B75" i="2"/>
  <c r="D75" i="2" s="1"/>
  <c r="D29" i="1"/>
  <c r="D28" i="1"/>
  <c r="D27" i="1"/>
  <c r="F21" i="1"/>
  <c r="E21" i="1"/>
  <c r="F20" i="1"/>
  <c r="E20" i="1"/>
  <c r="F19" i="1"/>
  <c r="E19" i="1"/>
  <c r="F18" i="1"/>
  <c r="E18" i="1"/>
  <c r="F17" i="1"/>
  <c r="E17" i="1"/>
  <c r="B73" i="4" l="1"/>
  <c r="D73" i="4" s="1"/>
  <c r="B37" i="2"/>
  <c r="E22" i="1"/>
  <c r="B83" i="4"/>
  <c r="B85" i="6"/>
  <c r="B37" i="6"/>
  <c r="B50" i="6" s="1"/>
  <c r="B75" i="6"/>
  <c r="D75" i="6" s="1"/>
  <c r="B72" i="5"/>
  <c r="D72" i="5" s="1"/>
  <c r="B34" i="5"/>
  <c r="B82" i="5"/>
  <c r="D12" i="4"/>
  <c r="B35" i="4"/>
  <c r="B48" i="4" s="1"/>
  <c r="B74" i="3"/>
  <c r="D74" i="3" s="1"/>
  <c r="B36" i="3"/>
  <c r="B49" i="3" s="1"/>
  <c r="B84" i="3"/>
  <c r="B56" i="6"/>
  <c r="B46" i="6"/>
  <c r="B53" i="5"/>
  <c r="B43" i="5"/>
  <c r="D65" i="5"/>
  <c r="B54" i="4"/>
  <c r="B44" i="4"/>
  <c r="D66" i="4"/>
  <c r="B55" i="3"/>
  <c r="B45" i="3"/>
  <c r="B56" i="2"/>
  <c r="B46" i="2"/>
  <c r="B85" i="2"/>
  <c r="B66" i="6" l="1"/>
  <c r="B64" i="4"/>
  <c r="D64" i="4" s="1"/>
  <c r="D76" i="4" s="1"/>
  <c r="B66" i="2"/>
  <c r="B63" i="5"/>
  <c r="B65" i="3"/>
  <c r="D66" i="6"/>
  <c r="D78" i="6" s="1"/>
  <c r="D66" i="2"/>
  <c r="D78" i="2" s="1"/>
  <c r="D65" i="3"/>
  <c r="D77" i="3" s="1"/>
  <c r="D19" i="4"/>
  <c r="D21" i="4"/>
  <c r="D22" i="4"/>
  <c r="D18" i="4"/>
  <c r="D17" i="4"/>
  <c r="D20" i="4"/>
  <c r="D16" i="4"/>
  <c r="D23" i="4"/>
  <c r="B47" i="5"/>
  <c r="B48" i="5" s="1"/>
  <c r="D53" i="4"/>
  <c r="D48" i="4"/>
  <c r="D49" i="4" s="1"/>
  <c r="D41" i="4"/>
  <c r="D40" i="4"/>
  <c r="D57" i="4"/>
  <c r="D58" i="4" s="1"/>
  <c r="D42" i="4"/>
  <c r="D43" i="4"/>
  <c r="D33" i="4"/>
  <c r="D29" i="4"/>
  <c r="D52" i="4"/>
  <c r="D32" i="4"/>
  <c r="D28" i="4"/>
  <c r="D31" i="4"/>
  <c r="D27" i="4"/>
  <c r="D34" i="4"/>
  <c r="D30" i="4"/>
  <c r="B50" i="2"/>
  <c r="D63" i="5"/>
  <c r="D75" i="5" s="1"/>
  <c r="D14" i="6"/>
  <c r="B60" i="6"/>
  <c r="B51" i="6"/>
  <c r="B57" i="5"/>
  <c r="B58" i="4"/>
  <c r="B49" i="4"/>
  <c r="B50" i="3"/>
  <c r="B59" i="3"/>
  <c r="B60" i="2"/>
  <c r="B59" i="5" l="1"/>
  <c r="D59" i="6"/>
  <c r="D60" i="6" s="1"/>
  <c r="D45" i="6"/>
  <c r="D36" i="6"/>
  <c r="D32" i="6"/>
  <c r="D25" i="6"/>
  <c r="D21" i="6"/>
  <c r="D44" i="6"/>
  <c r="D35" i="6"/>
  <c r="D31" i="6"/>
  <c r="D24" i="6"/>
  <c r="D20" i="6"/>
  <c r="D55" i="6"/>
  <c r="D50" i="6"/>
  <c r="D43" i="6"/>
  <c r="D34" i="6"/>
  <c r="D30" i="6"/>
  <c r="D23" i="6"/>
  <c r="D19" i="6"/>
  <c r="D54" i="6"/>
  <c r="D42" i="6"/>
  <c r="D33" i="6"/>
  <c r="D29" i="6"/>
  <c r="D22" i="6"/>
  <c r="D18" i="6"/>
  <c r="B51" i="2"/>
  <c r="B62" i="2" s="1"/>
  <c r="D54" i="4"/>
  <c r="D44" i="4"/>
  <c r="D11" i="5"/>
  <c r="D35" i="4"/>
  <c r="D24" i="4"/>
  <c r="B61" i="3"/>
  <c r="B60" i="4"/>
  <c r="B62" i="6"/>
  <c r="D51" i="6"/>
  <c r="D13" i="3"/>
  <c r="D56" i="5" l="1"/>
  <c r="D57" i="5" s="1"/>
  <c r="D42" i="5"/>
  <c r="D33" i="5"/>
  <c r="D29" i="5"/>
  <c r="D22" i="5"/>
  <c r="D18" i="5"/>
  <c r="D41" i="5"/>
  <c r="D28" i="5"/>
  <c r="D17" i="5"/>
  <c r="D47" i="5"/>
  <c r="D48" i="5" s="1"/>
  <c r="D31" i="5"/>
  <c r="D20" i="5"/>
  <c r="D51" i="5"/>
  <c r="D39" i="5"/>
  <c r="D30" i="5"/>
  <c r="D26" i="5"/>
  <c r="D19" i="5"/>
  <c r="D15" i="5"/>
  <c r="D32" i="5"/>
  <c r="D21" i="5"/>
  <c r="D52" i="5"/>
  <c r="D40" i="5"/>
  <c r="D27" i="5"/>
  <c r="D16" i="5"/>
  <c r="D34" i="3"/>
  <c r="D30" i="3"/>
  <c r="D23" i="3"/>
  <c r="D54" i="3"/>
  <c r="D33" i="3"/>
  <c r="D22" i="3"/>
  <c r="D53" i="3"/>
  <c r="D32" i="3"/>
  <c r="D28" i="3"/>
  <c r="D21" i="3"/>
  <c r="D17" i="3"/>
  <c r="D58" i="3"/>
  <c r="D59" i="3" s="1"/>
  <c r="D35" i="3"/>
  <c r="D31" i="3"/>
  <c r="D24" i="3"/>
  <c r="D20" i="3"/>
  <c r="D19" i="3"/>
  <c r="D49" i="3"/>
  <c r="D50" i="3" s="1"/>
  <c r="D29" i="3"/>
  <c r="D18" i="3"/>
  <c r="D60" i="4"/>
  <c r="D78" i="4" s="1"/>
  <c r="D14" i="2"/>
  <c r="D56" i="6"/>
  <c r="D46" i="6"/>
  <c r="D37" i="6"/>
  <c r="D26" i="6"/>
  <c r="D34" i="2" l="1"/>
  <c r="D24" i="2"/>
  <c r="D36" i="2"/>
  <c r="D31" i="2"/>
  <c r="D23" i="2"/>
  <c r="D19" i="2"/>
  <c r="D35" i="2"/>
  <c r="D30" i="2"/>
  <c r="D22" i="2"/>
  <c r="D18" i="2"/>
  <c r="D55" i="2"/>
  <c r="D29" i="2"/>
  <c r="D21" i="2"/>
  <c r="D54" i="2"/>
  <c r="D32" i="2"/>
  <c r="D20" i="2"/>
  <c r="D25" i="2"/>
  <c r="D33" i="2"/>
  <c r="D59" i="2"/>
  <c r="D60" i="2" s="1"/>
  <c r="D50" i="2"/>
  <c r="D51" i="2" s="1"/>
  <c r="D53" i="5"/>
  <c r="D81" i="4"/>
  <c r="D82" i="4"/>
  <c r="D43" i="5"/>
  <c r="D34" i="5"/>
  <c r="D23" i="5"/>
  <c r="D55" i="3"/>
  <c r="D62" i="6"/>
  <c r="D80" i="6" s="1"/>
  <c r="D25" i="3"/>
  <c r="D36" i="3"/>
  <c r="D45" i="3"/>
  <c r="D83" i="4" l="1"/>
  <c r="D56" i="2"/>
  <c r="D59" i="5"/>
  <c r="D77" i="5" s="1"/>
  <c r="D81" i="5" s="1"/>
  <c r="D83" i="6"/>
  <c r="D84" i="6"/>
  <c r="D61" i="3"/>
  <c r="D26" i="2"/>
  <c r="D45" i="1" s="1"/>
  <c r="D46" i="2"/>
  <c r="D37" i="2"/>
  <c r="D87" i="4" l="1"/>
  <c r="D86" i="4"/>
  <c r="D88" i="4"/>
  <c r="D80" i="5"/>
  <c r="D82" i="5" s="1"/>
  <c r="D62" i="2"/>
  <c r="D80" i="2" s="1"/>
  <c r="D79" i="3"/>
  <c r="D85" i="6"/>
  <c r="D88" i="6" l="1"/>
  <c r="D89" i="6"/>
  <c r="D90" i="6"/>
  <c r="D89" i="4"/>
  <c r="D92" i="4" s="1"/>
  <c r="E92" i="4" s="1"/>
  <c r="D87" i="5"/>
  <c r="D86" i="5"/>
  <c r="D85" i="5"/>
  <c r="D83" i="2"/>
  <c r="D84" i="2"/>
  <c r="D82" i="3"/>
  <c r="D83" i="3"/>
  <c r="D9" i="1" l="1"/>
  <c r="F9" i="1" s="1"/>
  <c r="G9" i="1" s="1"/>
  <c r="D85" i="2"/>
  <c r="D89" i="2" s="1"/>
  <c r="D47" i="1"/>
  <c r="D46" i="1"/>
  <c r="D88" i="5"/>
  <c r="D91" i="5" s="1"/>
  <c r="E91" i="5" s="1"/>
  <c r="D84" i="3"/>
  <c r="D91" i="6"/>
  <c r="D94" i="6" s="1"/>
  <c r="E94" i="6" s="1"/>
  <c r="D88" i="2" l="1"/>
  <c r="D90" i="2"/>
  <c r="D89" i="3"/>
  <c r="D87" i="3"/>
  <c r="D88" i="3"/>
  <c r="D10" i="1"/>
  <c r="F10" i="1" s="1"/>
  <c r="G10" i="1" s="1"/>
  <c r="D11" i="1"/>
  <c r="F11" i="1" s="1"/>
  <c r="G11" i="1" s="1"/>
  <c r="D91" i="2" l="1"/>
  <c r="D94" i="2" s="1"/>
  <c r="D7" i="1" s="1"/>
  <c r="F7" i="1" s="1"/>
  <c r="G7" i="1" s="1"/>
  <c r="D90" i="3"/>
  <c r="D93" i="3" s="1"/>
  <c r="D8" i="1" s="1"/>
  <c r="F8" i="1" s="1"/>
  <c r="G8" i="1" s="1"/>
  <c r="E94" i="2" l="1"/>
  <c r="E93" i="3"/>
  <c r="G12" i="1"/>
  <c r="F12" i="1"/>
</calcChain>
</file>

<file path=xl/sharedStrings.xml><?xml version="1.0" encoding="utf-8"?>
<sst xmlns="http://schemas.openxmlformats.org/spreadsheetml/2006/main" count="1311" uniqueCount="247">
  <si>
    <t>QUADRO RESUMO</t>
  </si>
  <si>
    <t>Obs.: Apenas os campos em amarelo devem ser preenchidos pelo licitante.</t>
  </si>
  <si>
    <t>Posto de trabalho</t>
  </si>
  <si>
    <t>Salário-base (R$)</t>
  </si>
  <si>
    <t>Custo total unitário (R$)</t>
  </si>
  <si>
    <t>Quantidade</t>
  </si>
  <si>
    <t>Valor mensal (R$)</t>
  </si>
  <si>
    <t>Valor anual (R$)</t>
  </si>
  <si>
    <t>PREÇO GLOBAL:</t>
  </si>
  <si>
    <t>Equipamento</t>
  </si>
  <si>
    <t>Valor unitário (R$)</t>
  </si>
  <si>
    <t>Valor total (R$)</t>
  </si>
  <si>
    <t>Manta balística</t>
  </si>
  <si>
    <t>Revólver calibre 38</t>
  </si>
  <si>
    <t>Munição para revólver calibre 38</t>
  </si>
  <si>
    <t>Rádio de comunicação (compatível com Motorola DTR 620)</t>
  </si>
  <si>
    <t>Total</t>
  </si>
  <si>
    <t>Insumos de valor subjetivo</t>
  </si>
  <si>
    <t>Valor unitário anual (R$)</t>
  </si>
  <si>
    <t>Uniforme (farda)¹</t>
  </si>
  <si>
    <t>Seguro de vida</t>
  </si>
  <si>
    <r>
      <t>Outros insumos</t>
    </r>
    <r>
      <rPr>
        <vertAlign val="superscript"/>
        <sz val="10"/>
        <rFont val="Arial"/>
        <family val="2"/>
      </rPr>
      <t>²</t>
    </r>
  </si>
  <si>
    <t>Encargos sociais incidentes sobre a remuneração</t>
  </si>
  <si>
    <t>Percentual (%)</t>
  </si>
  <si>
    <t>Riscos ambientais do trabalho - RAT x FAP</t>
  </si>
  <si>
    <t>Bonificação e outras despesas</t>
  </si>
  <si>
    <t>Lucro</t>
  </si>
  <si>
    <t>Despesas administrativas/operacionais</t>
  </si>
  <si>
    <t>Tributação sobre o faturamento</t>
  </si>
  <si>
    <t>ISSQN ou ISS</t>
  </si>
  <si>
    <t>COFINS</t>
  </si>
  <si>
    <t>PIS/PASEP</t>
  </si>
  <si>
    <t>PLANILHA DE COMPOSIÇÃO DE CUSTOS E FORMAÇÃO DE PREÇOS - POSTO 1</t>
  </si>
  <si>
    <t>I - SALÁRIO ESTIMADO DO PROFISSIONAL</t>
  </si>
  <si>
    <t>-</t>
  </si>
  <si>
    <t>MEMÓRIA DE CÁLCULO</t>
  </si>
  <si>
    <t>VALOR (R$)</t>
  </si>
  <si>
    <t>FUNDAMENTO</t>
  </si>
  <si>
    <t>VIGILANTE LÍDER - noturno (12x36)</t>
  </si>
  <si>
    <t>Carga horária de 220h</t>
  </si>
  <si>
    <t>II - COMPOSIÇÃO DA REMUNERAÇÃO</t>
  </si>
  <si>
    <t>QUANTIDADE</t>
  </si>
  <si>
    <t>Salário-base</t>
  </si>
  <si>
    <t>Gratificação</t>
  </si>
  <si>
    <t>10% do salário-base</t>
  </si>
  <si>
    <t>Cláusula sétima da CCT.</t>
  </si>
  <si>
    <t>Adicional de periculosidade</t>
  </si>
  <si>
    <t>(Salário+Grat.)*0,3</t>
  </si>
  <si>
    <t>Adicional noturno</t>
  </si>
  <si>
    <t>Horas extras estimadas</t>
  </si>
  <si>
    <t>DSR</t>
  </si>
  <si>
    <t>Súmula 172 do TST, considerando 25 dias úteis em um mês de 30 dias.</t>
  </si>
  <si>
    <t>TOTAL II</t>
  </si>
  <si>
    <t>(soma)</t>
  </si>
  <si>
    <t>III - ENCARGOS SOCIAIS INCIDENTES SOBRE A REMUNERAÇÃO</t>
  </si>
  <si>
    <t>PERCENTUAL (%)</t>
  </si>
  <si>
    <t>GRUPO III - A</t>
  </si>
  <si>
    <t>A.01 INSS</t>
  </si>
  <si>
    <t>20,000% * TOTAL II</t>
  </si>
  <si>
    <t>Art. 22, I, Lei 8.212/91.</t>
  </si>
  <si>
    <t>A.02 FGTS</t>
  </si>
  <si>
    <t>8,000% * TOTAL II</t>
  </si>
  <si>
    <t>Art. 15, Lei 8.030/90, e  Art. 7º , III, CF.</t>
  </si>
  <si>
    <t>A.03 SESI/SESC</t>
  </si>
  <si>
    <t>1,500% * TOTAL II</t>
  </si>
  <si>
    <t>Art. 30, Lei 8.036/90.</t>
  </si>
  <si>
    <t>A.04 SENAI/SENAC</t>
  </si>
  <si>
    <t>1,000% * TOTAL II</t>
  </si>
  <si>
    <t>Decreto 2.318/86.</t>
  </si>
  <si>
    <t>A.05 INCRA</t>
  </si>
  <si>
    <t>0,200% * TOTAL II</t>
  </si>
  <si>
    <t>Lei 7.787/89 e DL 1.146/70.</t>
  </si>
  <si>
    <t>A.06 SEBRAE</t>
  </si>
  <si>
    <t>0,600% * TOTAL II</t>
  </si>
  <si>
    <t>Art. 8º, Lei 8.029/90, e Lei 8.154/90.</t>
  </si>
  <si>
    <t>A.07 Salário educação</t>
  </si>
  <si>
    <t>2,500% * TOTAL II</t>
  </si>
  <si>
    <t>Art. 3º, I, Decreto 87.043/82.</t>
  </si>
  <si>
    <t>A.08 Riscos ambientais do trabalho - RAT x FAP</t>
  </si>
  <si>
    <t>(RAT*FAP) * TOTAL II</t>
  </si>
  <si>
    <t>Decreto 6.957/2009.</t>
  </si>
  <si>
    <t>TOTAL III - A</t>
  </si>
  <si>
    <t>GRUPO III - B</t>
  </si>
  <si>
    <t>B.01 - 13º salário</t>
  </si>
  <si>
    <t>Art. 7º, VIII, CF/88.</t>
  </si>
  <si>
    <t>B.02 - Férias + 1/3</t>
  </si>
  <si>
    <t>Art. 7º, XVII, CF/88.</t>
  </si>
  <si>
    <t>B.03 - Aviso prévio trabalhado¹</t>
  </si>
  <si>
    <t>Art. 7º, XXI, CF/88, 477, 487 e 491 CLT.</t>
  </si>
  <si>
    <t>B.04 - Auxílio doença²</t>
  </si>
  <si>
    <t>Art. 59 a 64, Lei 8.213/91.</t>
  </si>
  <si>
    <t>B.05 - Acidente de trabalho³</t>
  </si>
  <si>
    <t>Art. 19 a 23 da Lei, 8.213/91.</t>
  </si>
  <si>
    <r>
      <t>B.06 - Faltas legais</t>
    </r>
    <r>
      <rPr>
        <vertAlign val="superscript"/>
        <sz val="8"/>
        <rFont val="Arial"/>
        <family val="2"/>
      </rPr>
      <t>4</t>
    </r>
  </si>
  <si>
    <t>Art. 473, CLT.</t>
  </si>
  <si>
    <r>
      <t>B.07 - Férias sobre licença maternidade</t>
    </r>
    <r>
      <rPr>
        <vertAlign val="superscript"/>
        <sz val="10"/>
        <rFont val="Arial"/>
        <family val="2"/>
      </rPr>
      <t>5</t>
    </r>
  </si>
  <si>
    <t>Impacto do item férias sobre a licença maternidade.</t>
  </si>
  <si>
    <r>
      <t>B.08 - Licença paternidade</t>
    </r>
    <r>
      <rPr>
        <vertAlign val="superscript"/>
        <sz val="10"/>
        <rFont val="Arial"/>
        <family val="2"/>
      </rPr>
      <t>6</t>
    </r>
  </si>
  <si>
    <r>
      <t xml:space="preserve">Art. 7º, XIX, CF/88, e 10, </t>
    </r>
    <r>
      <rPr>
        <sz val="10"/>
        <rFont val="Calibri"/>
        <family val="2"/>
      </rPr>
      <t>§</t>
    </r>
    <r>
      <rPr>
        <sz val="10"/>
        <rFont val="Arial"/>
        <family val="2"/>
      </rPr>
      <t>1º, CLT.</t>
    </r>
  </si>
  <si>
    <t>TOTAL III - B</t>
  </si>
  <si>
    <t>¹ Redução de 7 dias ou de 2h por dia. Percentual relativo a contrato de 12 meses.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</si>
  <si>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Estimativa de 1 ausência por ano.</t>
    </r>
  </si>
  <si>
    <t>² Estimativa de 5 dias de licença por ano.</t>
  </si>
  <si>
    <t>³ Estimativa de 1 licença de 15 dias por ano para 1% dos funcionários.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</si>
  <si>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Estimativa de 1,5%dos funcionários usufruindo 5 dias da licença por ano.</t>
    </r>
  </si>
  <si>
    <t>GRUPO III - C</t>
  </si>
  <si>
    <t>C.01 - Aviso prévio indenizado¹</t>
  </si>
  <si>
    <t>Art. 7º, XXI, CF/88, 477,487 e 491 CLT.</t>
  </si>
  <si>
    <t>C.02 - Indenização adicional²</t>
  </si>
  <si>
    <t>Art. 9º, Lei 7.238/84.</t>
  </si>
  <si>
    <t>C.03 - Indenização (rescisão sem justa causa - multa de 40% do FGTS)³</t>
  </si>
  <si>
    <t>Leis 8.036/90 e 9.491/97.</t>
  </si>
  <si>
    <r>
      <t>C.04 - Indenização (rescisão sem justa causa - contribuição de 10% do FGTS)</t>
    </r>
    <r>
      <rPr>
        <vertAlign val="superscript"/>
        <sz val="10"/>
        <rFont val="Arial"/>
        <family val="2"/>
      </rPr>
      <t>4</t>
    </r>
  </si>
  <si>
    <t>Lei complementar 110/01.</t>
  </si>
  <si>
    <t>TOTAL III - C</t>
  </si>
  <si>
    <t>¹ Considerando que 25% dos funcionários serão substituídos durante 1 ano.</t>
  </si>
  <si>
    <t>³ Multa de 40% do FGTS em relação aos trabalhadores contratados.</t>
  </si>
  <si>
    <t>² Considerando que 25% dos funcionários serão demitidos em situação de recebimento de indenização adicional.</t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</si>
  <si>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Contribuição de 10% do FGTS em relação aos trabalhadores contratados.</t>
    </r>
  </si>
  <si>
    <t>GRUPO III - D</t>
  </si>
  <si>
    <t>D.01 - Incidência dos encargos do grupo A sobre o grupo B</t>
  </si>
  <si>
    <t>((TOTAL III - A * TOTAL III - B)/100) * TOTAL II</t>
  </si>
  <si>
    <t>TOTAL III - D</t>
  </si>
  <si>
    <t>GRUPO III - E</t>
  </si>
  <si>
    <t>MEMÓRIA DE CÁLCULO DO %</t>
  </si>
  <si>
    <t>E.01 - Incidência do FGTS exclusivamente sobre o aviso prévio indenizado</t>
  </si>
  <si>
    <t>A.02 * C.01 * TOTAL II</t>
  </si>
  <si>
    <t>Súmula 305 do TST.</t>
  </si>
  <si>
    <t>E.02 - Incidência do FGTS exclusivamente sobre o período médio de afastamento superior a 15 dias motivado por acidente de trabalho¹</t>
  </si>
  <si>
    <t>A.02 * B.05 * TOTAL II</t>
  </si>
  <si>
    <t>TOTAL III - E</t>
  </si>
  <si>
    <t>¹ Estimativa de que 1% dos funcionários sofrem acidentes por ano, com ausência média de 30 dias. O percentual do FGTS (8%) será aplicado somente sobre os 15 dias restantes do afastamento, porque os 15 primeiros dias já foram calculados no item B.05.</t>
  </si>
  <si>
    <t>GRUPO III - F</t>
  </si>
  <si>
    <t>F.01 - Incidência dos encargos do grupo A sobre o salário maternidade</t>
  </si>
  <si>
    <t>TOTAL III - F</t>
  </si>
  <si>
    <t>TOTAL III</t>
  </si>
  <si>
    <t>IV - INSUMOS</t>
  </si>
  <si>
    <t>Uniforme</t>
  </si>
  <si>
    <t>(Uniforme para 1 ano)/12</t>
  </si>
  <si>
    <t>Baseado em pesquisa de mercado.</t>
  </si>
  <si>
    <t>Equipamentos</t>
  </si>
  <si>
    <t>Auxílio-alimentação</t>
  </si>
  <si>
    <t>Vale-transporte</t>
  </si>
  <si>
    <t>Plano de saúde</t>
  </si>
  <si>
    <t>Cesta básica</t>
  </si>
  <si>
    <t>Combate à vigilância clandestina</t>
  </si>
  <si>
    <t>Desconto legal sobre transporte (máximo de 6% do salário-base)</t>
  </si>
  <si>
    <t>(-0,06*Salário)</t>
  </si>
  <si>
    <t>Lei 7.418/85.</t>
  </si>
  <si>
    <t>Em documento anexado à planilha</t>
  </si>
  <si>
    <t>Insumos eventualmente não previstos na planilha necessários ao cumprimento do objeto.</t>
  </si>
  <si>
    <t xml:space="preserve">TOTAL IV </t>
  </si>
  <si>
    <t>TOTAL 1: TOTAL DA REMUNERAÇÃO + ENCARGOS SOCIAIS + INSUMOS</t>
  </si>
  <si>
    <t>TOTAL II  + TOTAL III + TOTAL IV</t>
  </si>
  <si>
    <t>V - BONIFICAÇÃO E OUTRAS DESPESAS</t>
  </si>
  <si>
    <t>Incide sobre o TOTAL 1</t>
  </si>
  <si>
    <t>TOTAL V</t>
  </si>
  <si>
    <t>VI - TRIBUTAÇÃO SOBRE O FATURAMENTO</t>
  </si>
  <si>
    <t>((TOTAL 1 + TOTAL V)/(1-(ISS + COFINS + PIS/PASEP)))*alíquota</t>
  </si>
  <si>
    <t>TOTAL VI</t>
  </si>
  <si>
    <t>CUSTO POR FUNCIONÁRIO</t>
  </si>
  <si>
    <t>MENSAL (R$)</t>
  </si>
  <si>
    <t>ANUAL (R$)</t>
  </si>
  <si>
    <t>(TOTAL 1 + TOTAL V + TOTAL VI)</t>
  </si>
  <si>
    <t>PLANILHA DE COMPOSIÇÃO DE CUSTOS E FORMAÇÃO DE PREÇOS - POSTO 2</t>
  </si>
  <si>
    <t>VIGILANTE - noturno (12x36)</t>
  </si>
  <si>
    <t>Salário*0,3</t>
  </si>
  <si>
    <t>PLANILHA DE COMPOSIÇÃO DE CUSTOS E FORMAÇÃO DE PREÇOS - POSTO 3</t>
  </si>
  <si>
    <t>VIGILANTE LÍDER - diurno (12x36)</t>
  </si>
  <si>
    <t>PLANILHA DE COMPOSIÇÃO DE CUSTOS E FORMAÇÃO DE PREÇOS - POSTO 4</t>
  </si>
  <si>
    <t>VIGILANTE - diurno (12x36)</t>
  </si>
  <si>
    <t>(((Salário+Ad. per.)*1,6)/220) * (Quantidade)</t>
  </si>
  <si>
    <t>PLANILHA DE COMPOSIÇÃO DE CUSTOS E FORMAÇÃO DE PREÇOS - POSTO 5</t>
  </si>
  <si>
    <t>VIGILANTE - diurno (44h/semana)</t>
  </si>
  <si>
    <t>Dia do vigilante</t>
  </si>
  <si>
    <t>(((Salário+Ad. per.)*2)/220) * 8,8/12</t>
  </si>
  <si>
    <t>(Horas extras+Dia vig.) * 5/25</t>
  </si>
  <si>
    <t>Baseado no preço médio praticado em BH/MG, 2 passagens de ida e 2 de volta, 22 dias.</t>
  </si>
  <si>
    <t>Valor</t>
  </si>
  <si>
    <t>Outros benefícios obrigatórios</t>
  </si>
  <si>
    <t>Valor mensal referente a benefícios impostos pela legislação vigente, ACT ou CCT, não previstos na planilha.</t>
  </si>
  <si>
    <t>Percentual</t>
  </si>
  <si>
    <t>Obs.: Os valores obtidos como quocientes ou por meio de aplicação de taxas percentuais serão truncados na segunda casa decimal, nos termos da Lei Federal nº 9.069/1995, art. 1º, §5º.</t>
  </si>
  <si>
    <r>
      <rPr>
        <b/>
        <i/>
        <vertAlign val="superscript"/>
        <sz val="10"/>
        <color rgb="FFFF0000"/>
        <rFont val="Arial"/>
        <family val="2"/>
      </rPr>
      <t xml:space="preserve">² </t>
    </r>
    <r>
      <rPr>
        <b/>
        <i/>
        <sz val="10"/>
        <color rgb="FFFF0000"/>
        <rFont val="Arial"/>
        <family val="2"/>
      </rPr>
      <t>Este item abrange insumos eventualmente não discriminados nas planilhas e necessários à execução do objeto, a critério do licitante. Caso sejam indicados, tais insumos deverão ser discriminados detalhadamente em documento a ser anexado à planilha.</t>
    </r>
  </si>
  <si>
    <t>Taxa de adesão ao plano de saúde</t>
  </si>
  <si>
    <t>Obs.:  Não há campos para preenchimento nesta planilha.</t>
  </si>
  <si>
    <t>Valor mensal</t>
  </si>
  <si>
    <r>
      <t>Lucro</t>
    </r>
    <r>
      <rPr>
        <vertAlign val="superscript"/>
        <sz val="10"/>
        <rFont val="Arial"/>
        <family val="2"/>
      </rPr>
      <t>1</t>
    </r>
  </si>
  <si>
    <t>Outros insumos</t>
  </si>
  <si>
    <t>Plano odontológico</t>
  </si>
  <si>
    <t>CCT vigente, cláusula décima oitava</t>
  </si>
  <si>
    <t>CCT vigente, cláusula décima nona</t>
  </si>
  <si>
    <t xml:space="preserve">CCT vigente, cláusula décima quarta, §1º </t>
  </si>
  <si>
    <t>CCT vigente, cláusula quinquagésima nona, §2º.</t>
  </si>
  <si>
    <t>Inserir na tabela abaixo os valores propostos para os insumos de valor subjetivo, por posto</t>
  </si>
  <si>
    <t>Lucro máximo</t>
  </si>
  <si>
    <t>CCT, cláusula sétima</t>
  </si>
  <si>
    <r>
      <rPr>
        <b/>
        <i/>
        <vertAlign val="superscript"/>
        <sz val="9"/>
        <color rgb="FFFF0000"/>
        <rFont val="Arial"/>
        <family val="2"/>
      </rPr>
      <t>1</t>
    </r>
    <r>
      <rPr>
        <b/>
        <i/>
        <sz val="9"/>
        <color rgb="FFFF0000"/>
        <rFont val="Arial"/>
        <family val="2"/>
      </rPr>
      <t>Valor mensal ser considerado PELO FORNECEDOR na elaboração da proposta comercial. Não expresso nas planilhas e de recebimento certo. Será utilizado como referencial na análise de exequibilidade da proposta ofertada. Memória de Cálculo: somatório dos campos em VERDE nas planilhas, não considerados valores referentes a dependentes em relação ao plano de saúde e respectiva taxa.</t>
    </r>
  </si>
  <si>
    <t>Valor (R$)</t>
  </si>
  <si>
    <t>19,00*22</t>
  </si>
  <si>
    <t>4,50*4* 22 dias</t>
  </si>
  <si>
    <t>Fone de ouvido para rádio de comunicação (compatível com Motorola DTR 620)</t>
  </si>
  <si>
    <t>PERCENTUAL</t>
  </si>
  <si>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 xml:space="preserve"> Estimativa de 1,5% dos funcionários usufruindo 5 dias da licença por ano.</t>
    </r>
  </si>
  <si>
    <t>((TOTAL III - A * TOTAL III - B)) * TOTAL II</t>
  </si>
  <si>
    <t>(TOTAL III - A * TOTAL III - B) * TOTAL II</t>
  </si>
  <si>
    <t>(1/12) * TOTAL II</t>
  </si>
  <si>
    <t>((1+1/3)/12) * TOTAL II</t>
  </si>
  <si>
    <t>((7/30)/12) * TOTAL II</t>
  </si>
  <si>
    <t>((5/30)/12) * TOTAL II</t>
  </si>
  <si>
    <t>((1/30)/12) * TOTAL II</t>
  </si>
  <si>
    <t>((15/30)/12) * 1% * TOTAL II</t>
  </si>
  <si>
    <t>40% * 8% * TOTAL II</t>
  </si>
  <si>
    <t>10% * 8% * TOTAL II</t>
  </si>
  <si>
    <t>((5/30)/12)*1,5%) * TOTAL II</t>
  </si>
  <si>
    <t>25% * (1/12) * TOTAL II</t>
  </si>
  <si>
    <t>Salário*30%</t>
  </si>
  <si>
    <t>(Salário+Grat.)* 30%</t>
  </si>
  <si>
    <t>(((Salário+Grat.+Ad. per.)/220)*40%) * (Quantidade)</t>
  </si>
  <si>
    <t>(((Salário+Ad. per.)/220)*40%) * (Quantidade)</t>
  </si>
  <si>
    <t>CCT vigente, cláusula décima sétima, §3º. Estimativa de 2 dependentes + 1 titular.</t>
  </si>
  <si>
    <t>Estimativa de 2 dependentes + 1 titular.</t>
  </si>
  <si>
    <t>Valor mensal do plano de saúde por pessoa</t>
  </si>
  <si>
    <t>Valor da taxa de adesão ao plano de saúde por pessoa</t>
  </si>
  <si>
    <t>Valor mensal referente a benefícios impostos pela legislação vigente, ACT ou CCT, não previstos na planilha, por profissional. Deverão ser discriminados detalhamente em documento a ser anexado à planilha</t>
  </si>
  <si>
    <t>[(Total de equipamentos)/12]/14</t>
  </si>
  <si>
    <t>[(Total de equipamentos)/12]14</t>
  </si>
  <si>
    <t>Estimativa de 106,47 horas noturnas/mês.</t>
  </si>
  <si>
    <t>(Adicional noturno) * 5/25</t>
  </si>
  <si>
    <t>Valor integral conforme a CCT vigente, cláusula décima quinta. 15 dias.</t>
  </si>
  <si>
    <t>19,00*15</t>
  </si>
  <si>
    <t>4,50*4*15 dias</t>
  </si>
  <si>
    <t>Baseado no preço médio praticado em BH/MG, 2 passagens de ida e 2 de volta, 15 dias.</t>
  </si>
  <si>
    <t>Valor integral conforme CCT vigente, cláusula décima quinta. 15 dias.</t>
  </si>
  <si>
    <t>Quantidade estimada pelo BDMG e % adicional previsto na CCT. As horas-extras não são intrajornada e serão prestadas em observância estrita ao que determinam a lei e a CCT.</t>
  </si>
  <si>
    <t>Cláusula sexagésima quarta da CCT. A hora-extra relacionada não é intrajornada</t>
  </si>
  <si>
    <t>¹ Na tabela acima deverá ser informado o valor do conjunto completo, observadas as especificações constantes no Anexo V do edital.</t>
  </si>
  <si>
    <t>Inserir na tabela abaixo os valores propostos para os equipamentos/materiais listados no Anexo V do edital.</t>
  </si>
  <si>
    <r>
      <t>Lucro máximo</t>
    </r>
    <r>
      <rPr>
        <vertAlign val="superscript"/>
        <sz val="10"/>
        <rFont val="Arial"/>
        <family val="2"/>
      </rPr>
      <t>3</t>
    </r>
  </si>
  <si>
    <r>
      <rPr>
        <b/>
        <i/>
        <vertAlign val="superscript"/>
        <sz val="9"/>
        <color rgb="FFFF0000"/>
        <rFont val="Arial"/>
        <family val="2"/>
      </rPr>
      <t>3</t>
    </r>
    <r>
      <rPr>
        <b/>
        <i/>
        <sz val="9"/>
        <color rgb="FFFF0000"/>
        <rFont val="Arial"/>
        <family val="2"/>
      </rPr>
      <t>Valor mensal a ser considerado PELO BDMG para privisionamento, portanto, expresso nas planilhas de composição de custos. Vinculado à ocorrência de NECESSARIAMENTE TODOS os eventos previstos na composição dos custos, inclusive os incertos. Memória de Cálculo: TOTAL 1</t>
    </r>
  </si>
  <si>
    <t>(((1+1/3)/12)*1,5%*(4/12)) * TOTAL II</t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</si>
  <si>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Estimativa de 1,5% dos funcionários usufruindo de 4 meses de licença por ano.</t>
    </r>
  </si>
  <si>
    <t>Estimativa de que 1,5% dos funcionários usufruirão da licença maternidade de 4 meses em 1 ano.</t>
  </si>
  <si>
    <t>TOTAL III - A * (13/12) * (4/12) * 1,5% * TOTAL II</t>
  </si>
  <si>
    <t>TOTAL III - A * (13/12)*(4/12)*1,5% * TOTAL II</t>
  </si>
  <si>
    <t>TOTAL III - A * (13/12)*(4/12) * 1,5% * TOTAL II</t>
  </si>
  <si>
    <t>Cláusula quinquagésima nona, §2º da CCT.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</si>
</sst>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R$&quot;\ * #,##0.00_);_(&quot;R$&quot;\ * \(#,##0.00\);_(&quot;R$&quot;\ * &quot;-&quot;??_);_(@_)"/>
    <numFmt numFmtId="43" formatCode="_(* #,##0.00_);_(* \(#,##0.00\);_(* &quot;-&quot;??_);_(@_)"/>
    <numFmt numFmtId="164" formatCode="#,##0.000_);[Red]\(#,##0.000\)"/>
    <numFmt numFmtId="165" formatCode="_(* #,##0.000_);_(* \(#,##0.000\);_(* &quot;-&quot;???_);_(@_)"/>
    <numFmt numFmtId="166" formatCode="0.0%"/>
    <numFmt numFmtId="167" formatCode="0.0000%"/>
    <numFmt numFmtId="168" formatCode="_(* #,##0.00_);_(* \(#,##0.00\);_(* &quot;-&quot;???_);_(@_)"/>
    <numFmt numFmtId="169" formatCode="&quot;R$&quot;\ #,##0.00"/>
    <numFmt numFmtId="170" formatCode="0.00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color rgb="FFFF0000"/>
      <name val="Arial"/>
      <family val="2"/>
    </font>
    <font>
      <i/>
      <sz val="12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b/>
      <u/>
      <sz val="12"/>
      <name val="Arial Black"/>
      <family val="2"/>
    </font>
    <font>
      <b/>
      <i/>
      <sz val="12"/>
      <name val="Arial Black"/>
      <family val="2"/>
    </font>
    <font>
      <vertAlign val="superscript"/>
      <sz val="8"/>
      <name val="Arial"/>
      <family val="2"/>
    </font>
    <font>
      <sz val="10"/>
      <name val="Calibri"/>
      <family val="2"/>
    </font>
    <font>
      <b/>
      <i/>
      <sz val="9"/>
      <color rgb="FFFF0000"/>
      <name val="Arial"/>
      <family val="2"/>
    </font>
    <font>
      <sz val="11"/>
      <name val="Calibri"/>
      <family val="2"/>
    </font>
    <font>
      <b/>
      <i/>
      <vertAlign val="superscript"/>
      <sz val="10"/>
      <color rgb="FFFF0000"/>
      <name val="Arial"/>
      <family val="2"/>
    </font>
    <font>
      <b/>
      <sz val="9"/>
      <color rgb="FFFF0000"/>
      <name val="Arial"/>
      <family val="2"/>
    </font>
    <font>
      <b/>
      <i/>
      <vertAlign val="superscript"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Protection="1"/>
    <xf numFmtId="0" fontId="3" fillId="0" borderId="2" xfId="0" applyFont="1" applyFill="1" applyBorder="1" applyAlignment="1" applyProtection="1">
      <alignment horizontal="center"/>
    </xf>
    <xf numFmtId="0" fontId="0" fillId="0" borderId="0" xfId="0" applyFill="1" applyProtection="1"/>
    <xf numFmtId="0" fontId="3" fillId="0" borderId="5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left" wrapText="1"/>
    </xf>
    <xf numFmtId="0" fontId="0" fillId="0" borderId="4" xfId="0" applyBorder="1" applyAlignment="1" applyProtection="1">
      <alignment horizontal="center" vertical="center"/>
    </xf>
    <xf numFmtId="0" fontId="6" fillId="0" borderId="4" xfId="0" applyFont="1" applyBorder="1" applyAlignment="1" applyProtection="1">
      <alignment wrapText="1"/>
    </xf>
    <xf numFmtId="43" fontId="2" fillId="0" borderId="4" xfId="0" applyNumberFormat="1" applyFont="1" applyBorder="1" applyAlignment="1" applyProtection="1">
      <alignment vertical="center"/>
    </xf>
    <xf numFmtId="43" fontId="7" fillId="0" borderId="4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43" fontId="2" fillId="0" borderId="0" xfId="0" applyNumberFormat="1" applyFont="1" applyBorder="1" applyAlignment="1" applyProtection="1">
      <alignment vertical="center"/>
    </xf>
    <xf numFmtId="43" fontId="7" fillId="0" borderId="0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4" borderId="4" xfId="0" applyFont="1" applyFill="1" applyBorder="1" applyAlignment="1" applyProtection="1">
      <alignment horizontal="center" vertical="center"/>
    </xf>
    <xf numFmtId="43" fontId="9" fillId="0" borderId="0" xfId="0" applyNumberFormat="1" applyFont="1" applyBorder="1" applyAlignment="1" applyProtection="1">
      <alignment vertical="center"/>
    </xf>
    <xf numFmtId="43" fontId="10" fillId="0" borderId="0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center" vertical="center"/>
    </xf>
    <xf numFmtId="43" fontId="6" fillId="3" borderId="4" xfId="2" applyNumberFormat="1" applyFont="1" applyFill="1" applyBorder="1" applyAlignment="1" applyProtection="1">
      <alignment vertical="center"/>
      <protection locked="0"/>
    </xf>
    <xf numFmtId="43" fontId="6" fillId="0" borderId="4" xfId="0" applyNumberFormat="1" applyFont="1" applyBorder="1" applyAlignment="1" applyProtection="1">
      <alignment vertical="center"/>
    </xf>
    <xf numFmtId="43" fontId="3" fillId="0" borderId="4" xfId="0" applyNumberFormat="1" applyFont="1" applyBorder="1" applyAlignment="1" applyProtection="1">
      <alignment vertical="center"/>
    </xf>
    <xf numFmtId="43" fontId="6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3" fontId="3" fillId="0" borderId="0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3" fillId="4" borderId="4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3" fillId="0" borderId="0" xfId="0" applyFont="1" applyProtection="1"/>
    <xf numFmtId="0" fontId="6" fillId="0" borderId="0" xfId="0" applyFont="1" applyProtection="1"/>
    <xf numFmtId="0" fontId="6" fillId="0" borderId="4" xfId="0" applyFont="1" applyBorder="1" applyProtection="1"/>
    <xf numFmtId="0" fontId="6" fillId="0" borderId="4" xfId="0" applyFont="1" applyFill="1" applyBorder="1" applyProtection="1"/>
    <xf numFmtId="0" fontId="16" fillId="0" borderId="6" xfId="0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left" vertical="center"/>
    </xf>
    <xf numFmtId="0" fontId="17" fillId="0" borderId="10" xfId="0" applyFont="1" applyFill="1" applyBorder="1" applyAlignment="1" applyProtection="1">
      <alignment horizontal="left" vertical="center"/>
    </xf>
    <xf numFmtId="0" fontId="17" fillId="0" borderId="11" xfId="0" applyFont="1" applyFill="1" applyBorder="1" applyAlignment="1" applyProtection="1">
      <alignment horizontal="left" vertical="center"/>
    </xf>
    <xf numFmtId="0" fontId="3" fillId="5" borderId="12" xfId="0" applyFont="1" applyFill="1" applyBorder="1" applyAlignment="1" applyProtection="1">
      <alignment horizontal="left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/>
    </xf>
    <xf numFmtId="43" fontId="6" fillId="0" borderId="4" xfId="1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 wrapText="1"/>
    </xf>
    <xf numFmtId="43" fontId="6" fillId="0" borderId="21" xfId="1" applyNumberFormat="1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3" fillId="5" borderId="15" xfId="0" applyFont="1" applyFill="1" applyBorder="1" applyAlignment="1" applyProtection="1">
      <alignment vertical="center"/>
    </xf>
    <xf numFmtId="0" fontId="3" fillId="5" borderId="16" xfId="0" applyFont="1" applyFill="1" applyBorder="1" applyAlignment="1" applyProtection="1">
      <alignment horizontal="center" vertical="center"/>
    </xf>
    <xf numFmtId="43" fontId="3" fillId="5" borderId="16" xfId="1" applyFont="1" applyFill="1" applyBorder="1" applyAlignment="1" applyProtection="1">
      <alignment horizontal="center" vertical="center"/>
    </xf>
    <xf numFmtId="43" fontId="3" fillId="5" borderId="16" xfId="0" applyNumberFormat="1" applyFont="1" applyFill="1" applyBorder="1" applyAlignment="1" applyProtection="1">
      <alignment vertical="center"/>
    </xf>
    <xf numFmtId="0" fontId="3" fillId="5" borderId="17" xfId="0" applyFont="1" applyFill="1" applyBorder="1" applyAlignment="1" applyProtection="1">
      <alignment horizontal="center" vertical="center"/>
    </xf>
    <xf numFmtId="10" fontId="6" fillId="0" borderId="0" xfId="3" applyNumberFormat="1" applyFont="1" applyBorder="1" applyAlignment="1" applyProtection="1">
      <alignment vertical="center"/>
    </xf>
    <xf numFmtId="0" fontId="3" fillId="5" borderId="2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5" borderId="4" xfId="0" applyFont="1" applyFill="1" applyBorder="1" applyAlignment="1" applyProtection="1">
      <alignment horizontal="center" vertical="center"/>
    </xf>
    <xf numFmtId="43" fontId="6" fillId="5" borderId="4" xfId="1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</xf>
    <xf numFmtId="43" fontId="6" fillId="0" borderId="4" xfId="1" applyNumberFormat="1" applyFont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 wrapText="1"/>
    </xf>
    <xf numFmtId="43" fontId="6" fillId="0" borderId="4" xfId="1" applyFont="1" applyBorder="1" applyAlignment="1" applyProtection="1">
      <alignment vertical="center"/>
    </xf>
    <xf numFmtId="164" fontId="3" fillId="5" borderId="16" xfId="3" applyNumberFormat="1" applyFont="1" applyFill="1" applyBorder="1" applyAlignment="1" applyProtection="1">
      <alignment horizontal="center" vertical="center"/>
    </xf>
    <xf numFmtId="43" fontId="3" fillId="5" borderId="16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 wrapText="1"/>
    </xf>
    <xf numFmtId="165" fontId="6" fillId="0" borderId="0" xfId="0" applyNumberFormat="1" applyFont="1" applyBorder="1" applyAlignment="1" applyProtection="1">
      <alignment vertical="center"/>
    </xf>
    <xf numFmtId="2" fontId="6" fillId="0" borderId="0" xfId="0" applyNumberFormat="1" applyFont="1" applyBorder="1" applyAlignment="1" applyProtection="1">
      <alignment vertical="center"/>
    </xf>
    <xf numFmtId="166" fontId="6" fillId="0" borderId="19" xfId="3" applyNumberFormat="1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 wrapText="1"/>
    </xf>
    <xf numFmtId="167" fontId="6" fillId="0" borderId="4" xfId="0" applyNumberFormat="1" applyFont="1" applyBorder="1" applyAlignment="1" applyProtection="1">
      <alignment horizontal="center" vertical="center" wrapText="1"/>
    </xf>
    <xf numFmtId="0" fontId="3" fillId="5" borderId="25" xfId="0" applyFont="1" applyFill="1" applyBorder="1" applyAlignment="1" applyProtection="1">
      <alignment vertical="center"/>
    </xf>
    <xf numFmtId="164" fontId="3" fillId="5" borderId="26" xfId="3" applyNumberFormat="1" applyFont="1" applyFill="1" applyBorder="1" applyAlignment="1" applyProtection="1">
      <alignment horizontal="center" vertical="center"/>
    </xf>
    <xf numFmtId="0" fontId="3" fillId="5" borderId="26" xfId="0" applyFont="1" applyFill="1" applyBorder="1" applyAlignment="1" applyProtection="1">
      <alignment horizontal="center" vertical="center"/>
    </xf>
    <xf numFmtId="43" fontId="3" fillId="5" borderId="26" xfId="1" applyNumberFormat="1" applyFont="1" applyFill="1" applyBorder="1" applyAlignment="1" applyProtection="1">
      <alignment horizontal="right" vertical="center"/>
    </xf>
    <xf numFmtId="0" fontId="3" fillId="5" borderId="27" xfId="0" applyFont="1" applyFill="1" applyBorder="1" applyAlignment="1" applyProtection="1">
      <alignment horizontal="center" vertical="center"/>
    </xf>
    <xf numFmtId="43" fontId="6" fillId="0" borderId="0" xfId="1" applyFont="1" applyBorder="1" applyAlignment="1" applyProtection="1">
      <alignment horizontal="right" vertical="center"/>
    </xf>
    <xf numFmtId="43" fontId="6" fillId="0" borderId="4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168" fontId="6" fillId="0" borderId="4" xfId="0" applyNumberFormat="1" applyFont="1" applyFill="1" applyBorder="1" applyAlignment="1" applyProtection="1">
      <alignment vertical="center"/>
    </xf>
    <xf numFmtId="168" fontId="6" fillId="0" borderId="4" xfId="0" applyNumberFormat="1" applyFont="1" applyBorder="1" applyAlignment="1" applyProtection="1">
      <alignment vertical="center"/>
    </xf>
    <xf numFmtId="168" fontId="6" fillId="0" borderId="4" xfId="0" applyNumberFormat="1" applyFont="1" applyBorder="1" applyAlignment="1" applyProtection="1">
      <alignment horizontal="right" vertical="center"/>
    </xf>
    <xf numFmtId="43" fontId="6" fillId="0" borderId="4" xfId="1" applyNumberFormat="1" applyFont="1" applyBorder="1" applyAlignment="1" applyProtection="1">
      <alignment horizontal="right" vertical="center"/>
    </xf>
    <xf numFmtId="168" fontId="6" fillId="6" borderId="4" xfId="0" applyNumberFormat="1" applyFont="1" applyFill="1" applyBorder="1" applyAlignment="1" applyProtection="1">
      <alignment horizontal="right" vertical="center"/>
    </xf>
    <xf numFmtId="0" fontId="6" fillId="0" borderId="4" xfId="0" quotePrefix="1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left" vertical="center"/>
    </xf>
    <xf numFmtId="168" fontId="6" fillId="0" borderId="21" xfId="0" applyNumberFormat="1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vertical="center" wrapText="1"/>
    </xf>
    <xf numFmtId="0" fontId="6" fillId="0" borderId="29" xfId="0" applyFont="1" applyBorder="1" applyAlignment="1" applyProtection="1">
      <alignment vertical="center" wrapText="1"/>
    </xf>
    <xf numFmtId="0" fontId="6" fillId="0" borderId="30" xfId="0" applyFont="1" applyBorder="1" applyAlignment="1" applyProtection="1">
      <alignment vertical="center" wrapText="1"/>
    </xf>
    <xf numFmtId="0" fontId="3" fillId="5" borderId="25" xfId="0" applyFont="1" applyFill="1" applyBorder="1" applyAlignment="1" applyProtection="1">
      <alignment vertical="center" wrapText="1"/>
    </xf>
    <xf numFmtId="43" fontId="3" fillId="5" borderId="26" xfId="1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3" fillId="5" borderId="32" xfId="0" applyFont="1" applyFill="1" applyBorder="1" applyAlignment="1" applyProtection="1">
      <alignment vertical="center"/>
    </xf>
    <xf numFmtId="0" fontId="3" fillId="5" borderId="34" xfId="0" applyFont="1" applyFill="1" applyBorder="1" applyAlignment="1" applyProtection="1">
      <alignment vertical="center"/>
    </xf>
    <xf numFmtId="164" fontId="3" fillId="5" borderId="35" xfId="3" applyNumberFormat="1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vertical="center" wrapText="1"/>
    </xf>
    <xf numFmtId="164" fontId="3" fillId="0" borderId="26" xfId="3" applyNumberFormat="1" applyFont="1" applyFill="1" applyBorder="1" applyAlignment="1" applyProtection="1">
      <alignment horizontal="center" vertical="center"/>
    </xf>
    <xf numFmtId="43" fontId="3" fillId="0" borderId="26" xfId="1" applyFont="1" applyFill="1" applyBorder="1" applyAlignment="1" applyProtection="1">
      <alignment horizontal="right" vertical="center"/>
    </xf>
    <xf numFmtId="40" fontId="3" fillId="0" borderId="17" xfId="1" applyNumberFormat="1" applyFont="1" applyFill="1" applyBorder="1" applyAlignment="1" applyProtection="1">
      <alignment horizontal="center" vertical="center"/>
    </xf>
    <xf numFmtId="168" fontId="6" fillId="0" borderId="4" xfId="0" applyNumberFormat="1" applyFont="1" applyFill="1" applyBorder="1" applyAlignment="1" applyProtection="1">
      <alignment horizontal="right" vertical="center"/>
    </xf>
    <xf numFmtId="0" fontId="6" fillId="0" borderId="31" xfId="0" applyFont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69" fontId="6" fillId="3" borderId="4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6" fillId="0" borderId="4" xfId="0" applyFont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horizontal="center" vertical="center" wrapText="1"/>
    </xf>
    <xf numFmtId="167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7" fontId="0" fillId="3" borderId="4" xfId="0" applyNumberForma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vertical="center" wrapText="1"/>
    </xf>
    <xf numFmtId="168" fontId="6" fillId="0" borderId="31" xfId="0" applyNumberFormat="1" applyFont="1" applyFill="1" applyBorder="1" applyAlignment="1" applyProtection="1">
      <alignment vertical="center"/>
    </xf>
    <xf numFmtId="43" fontId="6" fillId="0" borderId="31" xfId="1" applyNumberFormat="1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left" vertical="center" wrapText="1"/>
    </xf>
    <xf numFmtId="43" fontId="6" fillId="0" borderId="4" xfId="0" applyNumberFormat="1" applyFont="1" applyFill="1" applyBorder="1" applyAlignment="1" applyProtection="1">
      <alignment horizontal="center" vertical="center"/>
    </xf>
    <xf numFmtId="168" fontId="6" fillId="0" borderId="4" xfId="0" applyNumberFormat="1" applyFont="1" applyFill="1" applyBorder="1" applyAlignment="1" applyProtection="1">
      <alignment horizontal="center" vertical="center"/>
    </xf>
    <xf numFmtId="168" fontId="6" fillId="0" borderId="4" xfId="0" applyNumberFormat="1" applyFont="1" applyBorder="1" applyAlignment="1" applyProtection="1">
      <alignment horizontal="center" vertical="center"/>
    </xf>
    <xf numFmtId="168" fontId="6" fillId="6" borderId="4" xfId="0" applyNumberFormat="1" applyFont="1" applyFill="1" applyBorder="1" applyAlignment="1" applyProtection="1">
      <alignment horizontal="center" vertical="center"/>
    </xf>
    <xf numFmtId="168" fontId="6" fillId="0" borderId="21" xfId="0" applyNumberFormat="1" applyFont="1" applyFill="1" applyBorder="1" applyAlignment="1" applyProtection="1">
      <alignment horizontal="center" vertical="center"/>
    </xf>
    <xf numFmtId="43" fontId="0" fillId="0" borderId="4" xfId="0" applyNumberFormat="1" applyBorder="1" applyAlignment="1" applyProtection="1">
      <alignment horizontal="center" vertical="center"/>
    </xf>
    <xf numFmtId="169" fontId="0" fillId="0" borderId="4" xfId="0" applyNumberFormat="1" applyBorder="1" applyAlignment="1" applyProtection="1">
      <alignment horizontal="center" vertical="center"/>
    </xf>
    <xf numFmtId="169" fontId="0" fillId="0" borderId="4" xfId="0" applyNumberFormat="1" applyBorder="1" applyAlignment="1" applyProtection="1">
      <alignment horizontal="center"/>
    </xf>
    <xf numFmtId="167" fontId="0" fillId="6" borderId="4" xfId="0" applyNumberFormat="1" applyFill="1" applyBorder="1" applyAlignment="1" applyProtection="1">
      <alignment horizontal="center" vertical="center"/>
    </xf>
    <xf numFmtId="43" fontId="6" fillId="0" borderId="21" xfId="1" applyNumberFormat="1" applyFont="1" applyBorder="1" applyAlignment="1" applyProtection="1">
      <alignment horizontal="right" vertical="center"/>
    </xf>
    <xf numFmtId="43" fontId="6" fillId="0" borderId="0" xfId="0" applyNumberFormat="1" applyFont="1" applyProtection="1"/>
    <xf numFmtId="43" fontId="6" fillId="0" borderId="16" xfId="1" applyFont="1" applyFill="1" applyBorder="1" applyAlignment="1" applyProtection="1">
      <alignment vertical="center"/>
    </xf>
    <xf numFmtId="43" fontId="6" fillId="0" borderId="21" xfId="1" applyNumberFormat="1" applyFont="1" applyFill="1" applyBorder="1" applyAlignment="1" applyProtection="1">
      <alignment vertical="center"/>
    </xf>
    <xf numFmtId="0" fontId="6" fillId="7" borderId="20" xfId="0" applyFont="1" applyFill="1" applyBorder="1" applyAlignment="1" applyProtection="1">
      <alignment vertical="center"/>
    </xf>
    <xf numFmtId="0" fontId="6" fillId="7" borderId="23" xfId="0" applyFont="1" applyFill="1" applyBorder="1" applyAlignment="1" applyProtection="1">
      <alignment vertical="center"/>
    </xf>
    <xf numFmtId="0" fontId="6" fillId="7" borderId="20" xfId="0" applyFont="1" applyFill="1" applyBorder="1" applyAlignment="1" applyProtection="1">
      <alignment vertical="center" wrapText="1"/>
    </xf>
    <xf numFmtId="0" fontId="6" fillId="7" borderId="23" xfId="0" applyFont="1" applyFill="1" applyBorder="1" applyAlignment="1" applyProtection="1">
      <alignment vertical="center" wrapText="1"/>
    </xf>
    <xf numFmtId="43" fontId="6" fillId="0" borderId="4" xfId="1" applyFont="1" applyFill="1" applyBorder="1" applyAlignment="1" applyProtection="1">
      <alignment vertical="center"/>
    </xf>
    <xf numFmtId="167" fontId="6" fillId="0" borderId="4" xfId="3" applyNumberFormat="1" applyFont="1" applyFill="1" applyBorder="1" applyAlignment="1" applyProtection="1">
      <alignment horizontal="center" vertical="center"/>
    </xf>
    <xf numFmtId="10" fontId="3" fillId="5" borderId="16" xfId="3" applyNumberFormat="1" applyFont="1" applyFill="1" applyBorder="1" applyAlignment="1" applyProtection="1">
      <alignment horizontal="center" vertical="center"/>
    </xf>
    <xf numFmtId="167" fontId="6" fillId="0" borderId="4" xfId="3" applyNumberFormat="1" applyFont="1" applyBorder="1" applyAlignment="1" applyProtection="1">
      <alignment horizontal="center" vertical="center"/>
    </xf>
    <xf numFmtId="167" fontId="6" fillId="0" borderId="2" xfId="3" applyNumberFormat="1" applyFont="1" applyBorder="1" applyAlignment="1" applyProtection="1">
      <alignment horizontal="center" vertical="center"/>
    </xf>
    <xf numFmtId="170" fontId="6" fillId="0" borderId="2" xfId="3" applyNumberFormat="1" applyFont="1" applyBorder="1" applyAlignment="1" applyProtection="1">
      <alignment horizontal="center" vertical="center"/>
    </xf>
    <xf numFmtId="167" fontId="6" fillId="0" borderId="0" xfId="3" applyNumberFormat="1" applyFont="1" applyBorder="1" applyAlignment="1" applyProtection="1">
      <alignment horizontal="center" vertical="center"/>
    </xf>
    <xf numFmtId="167" fontId="3" fillId="5" borderId="16" xfId="3" applyNumberFormat="1" applyFont="1" applyFill="1" applyBorder="1" applyAlignment="1" applyProtection="1">
      <alignment horizontal="center" vertical="center"/>
    </xf>
    <xf numFmtId="167" fontId="3" fillId="5" borderId="26" xfId="3" applyNumberFormat="1" applyFont="1" applyFill="1" applyBorder="1" applyAlignment="1" applyProtection="1">
      <alignment horizontal="center" vertical="center"/>
    </xf>
    <xf numFmtId="170" fontId="6" fillId="0" borderId="4" xfId="3" applyNumberFormat="1" applyFont="1" applyFill="1" applyBorder="1" applyAlignment="1" applyProtection="1">
      <alignment horizontal="center" vertical="center"/>
    </xf>
    <xf numFmtId="170" fontId="3" fillId="5" borderId="16" xfId="3" applyNumberFormat="1" applyFont="1" applyFill="1" applyBorder="1" applyAlignment="1" applyProtection="1">
      <alignment horizontal="center" vertical="center"/>
    </xf>
    <xf numFmtId="0" fontId="6" fillId="8" borderId="20" xfId="0" applyFont="1" applyFill="1" applyBorder="1" applyAlignment="1" applyProtection="1">
      <alignment vertical="center"/>
    </xf>
    <xf numFmtId="0" fontId="6" fillId="8" borderId="23" xfId="0" applyFont="1" applyFill="1" applyBorder="1" applyAlignment="1" applyProtection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/>
    <xf numFmtId="0" fontId="8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top" wrapText="1"/>
    </xf>
    <xf numFmtId="0" fontId="23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tabSelected="1" workbookViewId="0">
      <selection activeCell="D17" sqref="D17"/>
    </sheetView>
  </sheetViews>
  <sheetFormatPr defaultRowHeight="15" x14ac:dyDescent="0.25"/>
  <cols>
    <col min="1" max="1" width="4.28515625" style="1" customWidth="1"/>
    <col min="2" max="2" width="67.7109375" style="1" customWidth="1"/>
    <col min="3" max="7" width="18.5703125" style="1" customWidth="1"/>
    <col min="8" max="257" width="9.140625" style="1"/>
    <col min="258" max="258" width="51.28515625" style="1" bestFit="1" customWidth="1"/>
    <col min="259" max="259" width="18.5703125" style="1" customWidth="1"/>
    <col min="260" max="260" width="22.5703125" style="1" bestFit="1" customWidth="1"/>
    <col min="261" max="261" width="14.5703125" style="1" bestFit="1" customWidth="1"/>
    <col min="262" max="262" width="17.28515625" style="1" bestFit="1" customWidth="1"/>
    <col min="263" max="263" width="15.7109375" style="1" bestFit="1" customWidth="1"/>
    <col min="264" max="513" width="9.140625" style="1"/>
    <col min="514" max="514" width="51.28515625" style="1" bestFit="1" customWidth="1"/>
    <col min="515" max="515" width="18.5703125" style="1" customWidth="1"/>
    <col min="516" max="516" width="22.5703125" style="1" bestFit="1" customWidth="1"/>
    <col min="517" max="517" width="14.5703125" style="1" bestFit="1" customWidth="1"/>
    <col min="518" max="518" width="17.28515625" style="1" bestFit="1" customWidth="1"/>
    <col min="519" max="519" width="15.7109375" style="1" bestFit="1" customWidth="1"/>
    <col min="520" max="769" width="9.140625" style="1"/>
    <col min="770" max="770" width="51.28515625" style="1" bestFit="1" customWidth="1"/>
    <col min="771" max="771" width="18.5703125" style="1" customWidth="1"/>
    <col min="772" max="772" width="22.5703125" style="1" bestFit="1" customWidth="1"/>
    <col min="773" max="773" width="14.5703125" style="1" bestFit="1" customWidth="1"/>
    <col min="774" max="774" width="17.28515625" style="1" bestFit="1" customWidth="1"/>
    <col min="775" max="775" width="15.7109375" style="1" bestFit="1" customWidth="1"/>
    <col min="776" max="1025" width="9.140625" style="1"/>
    <col min="1026" max="1026" width="51.28515625" style="1" bestFit="1" customWidth="1"/>
    <col min="1027" max="1027" width="18.5703125" style="1" customWidth="1"/>
    <col min="1028" max="1028" width="22.5703125" style="1" bestFit="1" customWidth="1"/>
    <col min="1029" max="1029" width="14.5703125" style="1" bestFit="1" customWidth="1"/>
    <col min="1030" max="1030" width="17.28515625" style="1" bestFit="1" customWidth="1"/>
    <col min="1031" max="1031" width="15.7109375" style="1" bestFit="1" customWidth="1"/>
    <col min="1032" max="1281" width="9.140625" style="1"/>
    <col min="1282" max="1282" width="51.28515625" style="1" bestFit="1" customWidth="1"/>
    <col min="1283" max="1283" width="18.5703125" style="1" customWidth="1"/>
    <col min="1284" max="1284" width="22.5703125" style="1" bestFit="1" customWidth="1"/>
    <col min="1285" max="1285" width="14.5703125" style="1" bestFit="1" customWidth="1"/>
    <col min="1286" max="1286" width="17.28515625" style="1" bestFit="1" customWidth="1"/>
    <col min="1287" max="1287" width="15.7109375" style="1" bestFit="1" customWidth="1"/>
    <col min="1288" max="1537" width="9.140625" style="1"/>
    <col min="1538" max="1538" width="51.28515625" style="1" bestFit="1" customWidth="1"/>
    <col min="1539" max="1539" width="18.5703125" style="1" customWidth="1"/>
    <col min="1540" max="1540" width="22.5703125" style="1" bestFit="1" customWidth="1"/>
    <col min="1541" max="1541" width="14.5703125" style="1" bestFit="1" customWidth="1"/>
    <col min="1542" max="1542" width="17.28515625" style="1" bestFit="1" customWidth="1"/>
    <col min="1543" max="1543" width="15.7109375" style="1" bestFit="1" customWidth="1"/>
    <col min="1544" max="1793" width="9.140625" style="1"/>
    <col min="1794" max="1794" width="51.28515625" style="1" bestFit="1" customWidth="1"/>
    <col min="1795" max="1795" width="18.5703125" style="1" customWidth="1"/>
    <col min="1796" max="1796" width="22.5703125" style="1" bestFit="1" customWidth="1"/>
    <col min="1797" max="1797" width="14.5703125" style="1" bestFit="1" customWidth="1"/>
    <col min="1798" max="1798" width="17.28515625" style="1" bestFit="1" customWidth="1"/>
    <col min="1799" max="1799" width="15.7109375" style="1" bestFit="1" customWidth="1"/>
    <col min="1800" max="2049" width="9.140625" style="1"/>
    <col min="2050" max="2050" width="51.28515625" style="1" bestFit="1" customWidth="1"/>
    <col min="2051" max="2051" width="18.5703125" style="1" customWidth="1"/>
    <col min="2052" max="2052" width="22.5703125" style="1" bestFit="1" customWidth="1"/>
    <col min="2053" max="2053" width="14.5703125" style="1" bestFit="1" customWidth="1"/>
    <col min="2054" max="2054" width="17.28515625" style="1" bestFit="1" customWidth="1"/>
    <col min="2055" max="2055" width="15.7109375" style="1" bestFit="1" customWidth="1"/>
    <col min="2056" max="2305" width="9.140625" style="1"/>
    <col min="2306" max="2306" width="51.28515625" style="1" bestFit="1" customWidth="1"/>
    <col min="2307" max="2307" width="18.5703125" style="1" customWidth="1"/>
    <col min="2308" max="2308" width="22.5703125" style="1" bestFit="1" customWidth="1"/>
    <col min="2309" max="2309" width="14.5703125" style="1" bestFit="1" customWidth="1"/>
    <col min="2310" max="2310" width="17.28515625" style="1" bestFit="1" customWidth="1"/>
    <col min="2311" max="2311" width="15.7109375" style="1" bestFit="1" customWidth="1"/>
    <col min="2312" max="2561" width="9.140625" style="1"/>
    <col min="2562" max="2562" width="51.28515625" style="1" bestFit="1" customWidth="1"/>
    <col min="2563" max="2563" width="18.5703125" style="1" customWidth="1"/>
    <col min="2564" max="2564" width="22.5703125" style="1" bestFit="1" customWidth="1"/>
    <col min="2565" max="2565" width="14.5703125" style="1" bestFit="1" customWidth="1"/>
    <col min="2566" max="2566" width="17.28515625" style="1" bestFit="1" customWidth="1"/>
    <col min="2567" max="2567" width="15.7109375" style="1" bestFit="1" customWidth="1"/>
    <col min="2568" max="2817" width="9.140625" style="1"/>
    <col min="2818" max="2818" width="51.28515625" style="1" bestFit="1" customWidth="1"/>
    <col min="2819" max="2819" width="18.5703125" style="1" customWidth="1"/>
    <col min="2820" max="2820" width="22.5703125" style="1" bestFit="1" customWidth="1"/>
    <col min="2821" max="2821" width="14.5703125" style="1" bestFit="1" customWidth="1"/>
    <col min="2822" max="2822" width="17.28515625" style="1" bestFit="1" customWidth="1"/>
    <col min="2823" max="2823" width="15.7109375" style="1" bestFit="1" customWidth="1"/>
    <col min="2824" max="3073" width="9.140625" style="1"/>
    <col min="3074" max="3074" width="51.28515625" style="1" bestFit="1" customWidth="1"/>
    <col min="3075" max="3075" width="18.5703125" style="1" customWidth="1"/>
    <col min="3076" max="3076" width="22.5703125" style="1" bestFit="1" customWidth="1"/>
    <col min="3077" max="3077" width="14.5703125" style="1" bestFit="1" customWidth="1"/>
    <col min="3078" max="3078" width="17.28515625" style="1" bestFit="1" customWidth="1"/>
    <col min="3079" max="3079" width="15.7109375" style="1" bestFit="1" customWidth="1"/>
    <col min="3080" max="3329" width="9.140625" style="1"/>
    <col min="3330" max="3330" width="51.28515625" style="1" bestFit="1" customWidth="1"/>
    <col min="3331" max="3331" width="18.5703125" style="1" customWidth="1"/>
    <col min="3332" max="3332" width="22.5703125" style="1" bestFit="1" customWidth="1"/>
    <col min="3333" max="3333" width="14.5703125" style="1" bestFit="1" customWidth="1"/>
    <col min="3334" max="3334" width="17.28515625" style="1" bestFit="1" customWidth="1"/>
    <col min="3335" max="3335" width="15.7109375" style="1" bestFit="1" customWidth="1"/>
    <col min="3336" max="3585" width="9.140625" style="1"/>
    <col min="3586" max="3586" width="51.28515625" style="1" bestFit="1" customWidth="1"/>
    <col min="3587" max="3587" width="18.5703125" style="1" customWidth="1"/>
    <col min="3588" max="3588" width="22.5703125" style="1" bestFit="1" customWidth="1"/>
    <col min="3589" max="3589" width="14.5703125" style="1" bestFit="1" customWidth="1"/>
    <col min="3590" max="3590" width="17.28515625" style="1" bestFit="1" customWidth="1"/>
    <col min="3591" max="3591" width="15.7109375" style="1" bestFit="1" customWidth="1"/>
    <col min="3592" max="3841" width="9.140625" style="1"/>
    <col min="3842" max="3842" width="51.28515625" style="1" bestFit="1" customWidth="1"/>
    <col min="3843" max="3843" width="18.5703125" style="1" customWidth="1"/>
    <col min="3844" max="3844" width="22.5703125" style="1" bestFit="1" customWidth="1"/>
    <col min="3845" max="3845" width="14.5703125" style="1" bestFit="1" customWidth="1"/>
    <col min="3846" max="3846" width="17.28515625" style="1" bestFit="1" customWidth="1"/>
    <col min="3847" max="3847" width="15.7109375" style="1" bestFit="1" customWidth="1"/>
    <col min="3848" max="4097" width="9.140625" style="1"/>
    <col min="4098" max="4098" width="51.28515625" style="1" bestFit="1" customWidth="1"/>
    <col min="4099" max="4099" width="18.5703125" style="1" customWidth="1"/>
    <col min="4100" max="4100" width="22.5703125" style="1" bestFit="1" customWidth="1"/>
    <col min="4101" max="4101" width="14.5703125" style="1" bestFit="1" customWidth="1"/>
    <col min="4102" max="4102" width="17.28515625" style="1" bestFit="1" customWidth="1"/>
    <col min="4103" max="4103" width="15.7109375" style="1" bestFit="1" customWidth="1"/>
    <col min="4104" max="4353" width="9.140625" style="1"/>
    <col min="4354" max="4354" width="51.28515625" style="1" bestFit="1" customWidth="1"/>
    <col min="4355" max="4355" width="18.5703125" style="1" customWidth="1"/>
    <col min="4356" max="4356" width="22.5703125" style="1" bestFit="1" customWidth="1"/>
    <col min="4357" max="4357" width="14.5703125" style="1" bestFit="1" customWidth="1"/>
    <col min="4358" max="4358" width="17.28515625" style="1" bestFit="1" customWidth="1"/>
    <col min="4359" max="4359" width="15.7109375" style="1" bestFit="1" customWidth="1"/>
    <col min="4360" max="4609" width="9.140625" style="1"/>
    <col min="4610" max="4610" width="51.28515625" style="1" bestFit="1" customWidth="1"/>
    <col min="4611" max="4611" width="18.5703125" style="1" customWidth="1"/>
    <col min="4612" max="4612" width="22.5703125" style="1" bestFit="1" customWidth="1"/>
    <col min="4613" max="4613" width="14.5703125" style="1" bestFit="1" customWidth="1"/>
    <col min="4614" max="4614" width="17.28515625" style="1" bestFit="1" customWidth="1"/>
    <col min="4615" max="4615" width="15.7109375" style="1" bestFit="1" customWidth="1"/>
    <col min="4616" max="4865" width="9.140625" style="1"/>
    <col min="4866" max="4866" width="51.28515625" style="1" bestFit="1" customWidth="1"/>
    <col min="4867" max="4867" width="18.5703125" style="1" customWidth="1"/>
    <col min="4868" max="4868" width="22.5703125" style="1" bestFit="1" customWidth="1"/>
    <col min="4869" max="4869" width="14.5703125" style="1" bestFit="1" customWidth="1"/>
    <col min="4870" max="4870" width="17.28515625" style="1" bestFit="1" customWidth="1"/>
    <col min="4871" max="4871" width="15.7109375" style="1" bestFit="1" customWidth="1"/>
    <col min="4872" max="5121" width="9.140625" style="1"/>
    <col min="5122" max="5122" width="51.28515625" style="1" bestFit="1" customWidth="1"/>
    <col min="5123" max="5123" width="18.5703125" style="1" customWidth="1"/>
    <col min="5124" max="5124" width="22.5703125" style="1" bestFit="1" customWidth="1"/>
    <col min="5125" max="5125" width="14.5703125" style="1" bestFit="1" customWidth="1"/>
    <col min="5126" max="5126" width="17.28515625" style="1" bestFit="1" customWidth="1"/>
    <col min="5127" max="5127" width="15.7109375" style="1" bestFit="1" customWidth="1"/>
    <col min="5128" max="5377" width="9.140625" style="1"/>
    <col min="5378" max="5378" width="51.28515625" style="1" bestFit="1" customWidth="1"/>
    <col min="5379" max="5379" width="18.5703125" style="1" customWidth="1"/>
    <col min="5380" max="5380" width="22.5703125" style="1" bestFit="1" customWidth="1"/>
    <col min="5381" max="5381" width="14.5703125" style="1" bestFit="1" customWidth="1"/>
    <col min="5382" max="5382" width="17.28515625" style="1" bestFit="1" customWidth="1"/>
    <col min="5383" max="5383" width="15.7109375" style="1" bestFit="1" customWidth="1"/>
    <col min="5384" max="5633" width="9.140625" style="1"/>
    <col min="5634" max="5634" width="51.28515625" style="1" bestFit="1" customWidth="1"/>
    <col min="5635" max="5635" width="18.5703125" style="1" customWidth="1"/>
    <col min="5636" max="5636" width="22.5703125" style="1" bestFit="1" customWidth="1"/>
    <col min="5637" max="5637" width="14.5703125" style="1" bestFit="1" customWidth="1"/>
    <col min="5638" max="5638" width="17.28515625" style="1" bestFit="1" customWidth="1"/>
    <col min="5639" max="5639" width="15.7109375" style="1" bestFit="1" customWidth="1"/>
    <col min="5640" max="5889" width="9.140625" style="1"/>
    <col min="5890" max="5890" width="51.28515625" style="1" bestFit="1" customWidth="1"/>
    <col min="5891" max="5891" width="18.5703125" style="1" customWidth="1"/>
    <col min="5892" max="5892" width="22.5703125" style="1" bestFit="1" customWidth="1"/>
    <col min="5893" max="5893" width="14.5703125" style="1" bestFit="1" customWidth="1"/>
    <col min="5894" max="5894" width="17.28515625" style="1" bestFit="1" customWidth="1"/>
    <col min="5895" max="5895" width="15.7109375" style="1" bestFit="1" customWidth="1"/>
    <col min="5896" max="6145" width="9.140625" style="1"/>
    <col min="6146" max="6146" width="51.28515625" style="1" bestFit="1" customWidth="1"/>
    <col min="6147" max="6147" width="18.5703125" style="1" customWidth="1"/>
    <col min="6148" max="6148" width="22.5703125" style="1" bestFit="1" customWidth="1"/>
    <col min="6149" max="6149" width="14.5703125" style="1" bestFit="1" customWidth="1"/>
    <col min="6150" max="6150" width="17.28515625" style="1" bestFit="1" customWidth="1"/>
    <col min="6151" max="6151" width="15.7109375" style="1" bestFit="1" customWidth="1"/>
    <col min="6152" max="6401" width="9.140625" style="1"/>
    <col min="6402" max="6402" width="51.28515625" style="1" bestFit="1" customWidth="1"/>
    <col min="6403" max="6403" width="18.5703125" style="1" customWidth="1"/>
    <col min="6404" max="6404" width="22.5703125" style="1" bestFit="1" customWidth="1"/>
    <col min="6405" max="6405" width="14.5703125" style="1" bestFit="1" customWidth="1"/>
    <col min="6406" max="6406" width="17.28515625" style="1" bestFit="1" customWidth="1"/>
    <col min="6407" max="6407" width="15.7109375" style="1" bestFit="1" customWidth="1"/>
    <col min="6408" max="6657" width="9.140625" style="1"/>
    <col min="6658" max="6658" width="51.28515625" style="1" bestFit="1" customWidth="1"/>
    <col min="6659" max="6659" width="18.5703125" style="1" customWidth="1"/>
    <col min="6660" max="6660" width="22.5703125" style="1" bestFit="1" customWidth="1"/>
    <col min="6661" max="6661" width="14.5703125" style="1" bestFit="1" customWidth="1"/>
    <col min="6662" max="6662" width="17.28515625" style="1" bestFit="1" customWidth="1"/>
    <col min="6663" max="6663" width="15.7109375" style="1" bestFit="1" customWidth="1"/>
    <col min="6664" max="6913" width="9.140625" style="1"/>
    <col min="6914" max="6914" width="51.28515625" style="1" bestFit="1" customWidth="1"/>
    <col min="6915" max="6915" width="18.5703125" style="1" customWidth="1"/>
    <col min="6916" max="6916" width="22.5703125" style="1" bestFit="1" customWidth="1"/>
    <col min="6917" max="6917" width="14.5703125" style="1" bestFit="1" customWidth="1"/>
    <col min="6918" max="6918" width="17.28515625" style="1" bestFit="1" customWidth="1"/>
    <col min="6919" max="6919" width="15.7109375" style="1" bestFit="1" customWidth="1"/>
    <col min="6920" max="7169" width="9.140625" style="1"/>
    <col min="7170" max="7170" width="51.28515625" style="1" bestFit="1" customWidth="1"/>
    <col min="7171" max="7171" width="18.5703125" style="1" customWidth="1"/>
    <col min="7172" max="7172" width="22.5703125" style="1" bestFit="1" customWidth="1"/>
    <col min="7173" max="7173" width="14.5703125" style="1" bestFit="1" customWidth="1"/>
    <col min="7174" max="7174" width="17.28515625" style="1" bestFit="1" customWidth="1"/>
    <col min="7175" max="7175" width="15.7109375" style="1" bestFit="1" customWidth="1"/>
    <col min="7176" max="7425" width="9.140625" style="1"/>
    <col min="7426" max="7426" width="51.28515625" style="1" bestFit="1" customWidth="1"/>
    <col min="7427" max="7427" width="18.5703125" style="1" customWidth="1"/>
    <col min="7428" max="7428" width="22.5703125" style="1" bestFit="1" customWidth="1"/>
    <col min="7429" max="7429" width="14.5703125" style="1" bestFit="1" customWidth="1"/>
    <col min="7430" max="7430" width="17.28515625" style="1" bestFit="1" customWidth="1"/>
    <col min="7431" max="7431" width="15.7109375" style="1" bestFit="1" customWidth="1"/>
    <col min="7432" max="7681" width="9.140625" style="1"/>
    <col min="7682" max="7682" width="51.28515625" style="1" bestFit="1" customWidth="1"/>
    <col min="7683" max="7683" width="18.5703125" style="1" customWidth="1"/>
    <col min="7684" max="7684" width="22.5703125" style="1" bestFit="1" customWidth="1"/>
    <col min="7685" max="7685" width="14.5703125" style="1" bestFit="1" customWidth="1"/>
    <col min="7686" max="7686" width="17.28515625" style="1" bestFit="1" customWidth="1"/>
    <col min="7687" max="7687" width="15.7109375" style="1" bestFit="1" customWidth="1"/>
    <col min="7688" max="7937" width="9.140625" style="1"/>
    <col min="7938" max="7938" width="51.28515625" style="1" bestFit="1" customWidth="1"/>
    <col min="7939" max="7939" width="18.5703125" style="1" customWidth="1"/>
    <col min="7940" max="7940" width="22.5703125" style="1" bestFit="1" customWidth="1"/>
    <col min="7941" max="7941" width="14.5703125" style="1" bestFit="1" customWidth="1"/>
    <col min="7942" max="7942" width="17.28515625" style="1" bestFit="1" customWidth="1"/>
    <col min="7943" max="7943" width="15.7109375" style="1" bestFit="1" customWidth="1"/>
    <col min="7944" max="8193" width="9.140625" style="1"/>
    <col min="8194" max="8194" width="51.28515625" style="1" bestFit="1" customWidth="1"/>
    <col min="8195" max="8195" width="18.5703125" style="1" customWidth="1"/>
    <col min="8196" max="8196" width="22.5703125" style="1" bestFit="1" customWidth="1"/>
    <col min="8197" max="8197" width="14.5703125" style="1" bestFit="1" customWidth="1"/>
    <col min="8198" max="8198" width="17.28515625" style="1" bestFit="1" customWidth="1"/>
    <col min="8199" max="8199" width="15.7109375" style="1" bestFit="1" customWidth="1"/>
    <col min="8200" max="8449" width="9.140625" style="1"/>
    <col min="8450" max="8450" width="51.28515625" style="1" bestFit="1" customWidth="1"/>
    <col min="8451" max="8451" width="18.5703125" style="1" customWidth="1"/>
    <col min="8452" max="8452" width="22.5703125" style="1" bestFit="1" customWidth="1"/>
    <col min="8453" max="8453" width="14.5703125" style="1" bestFit="1" customWidth="1"/>
    <col min="8454" max="8454" width="17.28515625" style="1" bestFit="1" customWidth="1"/>
    <col min="8455" max="8455" width="15.7109375" style="1" bestFit="1" customWidth="1"/>
    <col min="8456" max="8705" width="9.140625" style="1"/>
    <col min="8706" max="8706" width="51.28515625" style="1" bestFit="1" customWidth="1"/>
    <col min="8707" max="8707" width="18.5703125" style="1" customWidth="1"/>
    <col min="8708" max="8708" width="22.5703125" style="1" bestFit="1" customWidth="1"/>
    <col min="8709" max="8709" width="14.5703125" style="1" bestFit="1" customWidth="1"/>
    <col min="8710" max="8710" width="17.28515625" style="1" bestFit="1" customWidth="1"/>
    <col min="8711" max="8711" width="15.7109375" style="1" bestFit="1" customWidth="1"/>
    <col min="8712" max="8961" width="9.140625" style="1"/>
    <col min="8962" max="8962" width="51.28515625" style="1" bestFit="1" customWidth="1"/>
    <col min="8963" max="8963" width="18.5703125" style="1" customWidth="1"/>
    <col min="8964" max="8964" width="22.5703125" style="1" bestFit="1" customWidth="1"/>
    <col min="8965" max="8965" width="14.5703125" style="1" bestFit="1" customWidth="1"/>
    <col min="8966" max="8966" width="17.28515625" style="1" bestFit="1" customWidth="1"/>
    <col min="8967" max="8967" width="15.7109375" style="1" bestFit="1" customWidth="1"/>
    <col min="8968" max="9217" width="9.140625" style="1"/>
    <col min="9218" max="9218" width="51.28515625" style="1" bestFit="1" customWidth="1"/>
    <col min="9219" max="9219" width="18.5703125" style="1" customWidth="1"/>
    <col min="9220" max="9220" width="22.5703125" style="1" bestFit="1" customWidth="1"/>
    <col min="9221" max="9221" width="14.5703125" style="1" bestFit="1" customWidth="1"/>
    <col min="9222" max="9222" width="17.28515625" style="1" bestFit="1" customWidth="1"/>
    <col min="9223" max="9223" width="15.7109375" style="1" bestFit="1" customWidth="1"/>
    <col min="9224" max="9473" width="9.140625" style="1"/>
    <col min="9474" max="9474" width="51.28515625" style="1" bestFit="1" customWidth="1"/>
    <col min="9475" max="9475" width="18.5703125" style="1" customWidth="1"/>
    <col min="9476" max="9476" width="22.5703125" style="1" bestFit="1" customWidth="1"/>
    <col min="9477" max="9477" width="14.5703125" style="1" bestFit="1" customWidth="1"/>
    <col min="9478" max="9478" width="17.28515625" style="1" bestFit="1" customWidth="1"/>
    <col min="9479" max="9479" width="15.7109375" style="1" bestFit="1" customWidth="1"/>
    <col min="9480" max="9729" width="9.140625" style="1"/>
    <col min="9730" max="9730" width="51.28515625" style="1" bestFit="1" customWidth="1"/>
    <col min="9731" max="9731" width="18.5703125" style="1" customWidth="1"/>
    <col min="9732" max="9732" width="22.5703125" style="1" bestFit="1" customWidth="1"/>
    <col min="9733" max="9733" width="14.5703125" style="1" bestFit="1" customWidth="1"/>
    <col min="9734" max="9734" width="17.28515625" style="1" bestFit="1" customWidth="1"/>
    <col min="9735" max="9735" width="15.7109375" style="1" bestFit="1" customWidth="1"/>
    <col min="9736" max="9985" width="9.140625" style="1"/>
    <col min="9986" max="9986" width="51.28515625" style="1" bestFit="1" customWidth="1"/>
    <col min="9987" max="9987" width="18.5703125" style="1" customWidth="1"/>
    <col min="9988" max="9988" width="22.5703125" style="1" bestFit="1" customWidth="1"/>
    <col min="9989" max="9989" width="14.5703125" style="1" bestFit="1" customWidth="1"/>
    <col min="9990" max="9990" width="17.28515625" style="1" bestFit="1" customWidth="1"/>
    <col min="9991" max="9991" width="15.7109375" style="1" bestFit="1" customWidth="1"/>
    <col min="9992" max="10241" width="9.140625" style="1"/>
    <col min="10242" max="10242" width="51.28515625" style="1" bestFit="1" customWidth="1"/>
    <col min="10243" max="10243" width="18.5703125" style="1" customWidth="1"/>
    <col min="10244" max="10244" width="22.5703125" style="1" bestFit="1" customWidth="1"/>
    <col min="10245" max="10245" width="14.5703125" style="1" bestFit="1" customWidth="1"/>
    <col min="10246" max="10246" width="17.28515625" style="1" bestFit="1" customWidth="1"/>
    <col min="10247" max="10247" width="15.7109375" style="1" bestFit="1" customWidth="1"/>
    <col min="10248" max="10497" width="9.140625" style="1"/>
    <col min="10498" max="10498" width="51.28515625" style="1" bestFit="1" customWidth="1"/>
    <col min="10499" max="10499" width="18.5703125" style="1" customWidth="1"/>
    <col min="10500" max="10500" width="22.5703125" style="1" bestFit="1" customWidth="1"/>
    <col min="10501" max="10501" width="14.5703125" style="1" bestFit="1" customWidth="1"/>
    <col min="10502" max="10502" width="17.28515625" style="1" bestFit="1" customWidth="1"/>
    <col min="10503" max="10503" width="15.7109375" style="1" bestFit="1" customWidth="1"/>
    <col min="10504" max="10753" width="9.140625" style="1"/>
    <col min="10754" max="10754" width="51.28515625" style="1" bestFit="1" customWidth="1"/>
    <col min="10755" max="10755" width="18.5703125" style="1" customWidth="1"/>
    <col min="10756" max="10756" width="22.5703125" style="1" bestFit="1" customWidth="1"/>
    <col min="10757" max="10757" width="14.5703125" style="1" bestFit="1" customWidth="1"/>
    <col min="10758" max="10758" width="17.28515625" style="1" bestFit="1" customWidth="1"/>
    <col min="10759" max="10759" width="15.7109375" style="1" bestFit="1" customWidth="1"/>
    <col min="10760" max="11009" width="9.140625" style="1"/>
    <col min="11010" max="11010" width="51.28515625" style="1" bestFit="1" customWidth="1"/>
    <col min="11011" max="11011" width="18.5703125" style="1" customWidth="1"/>
    <col min="11012" max="11012" width="22.5703125" style="1" bestFit="1" customWidth="1"/>
    <col min="11013" max="11013" width="14.5703125" style="1" bestFit="1" customWidth="1"/>
    <col min="11014" max="11014" width="17.28515625" style="1" bestFit="1" customWidth="1"/>
    <col min="11015" max="11015" width="15.7109375" style="1" bestFit="1" customWidth="1"/>
    <col min="11016" max="11265" width="9.140625" style="1"/>
    <col min="11266" max="11266" width="51.28515625" style="1" bestFit="1" customWidth="1"/>
    <col min="11267" max="11267" width="18.5703125" style="1" customWidth="1"/>
    <col min="11268" max="11268" width="22.5703125" style="1" bestFit="1" customWidth="1"/>
    <col min="11269" max="11269" width="14.5703125" style="1" bestFit="1" customWidth="1"/>
    <col min="11270" max="11270" width="17.28515625" style="1" bestFit="1" customWidth="1"/>
    <col min="11271" max="11271" width="15.7109375" style="1" bestFit="1" customWidth="1"/>
    <col min="11272" max="11521" width="9.140625" style="1"/>
    <col min="11522" max="11522" width="51.28515625" style="1" bestFit="1" customWidth="1"/>
    <col min="11523" max="11523" width="18.5703125" style="1" customWidth="1"/>
    <col min="11524" max="11524" width="22.5703125" style="1" bestFit="1" customWidth="1"/>
    <col min="11525" max="11525" width="14.5703125" style="1" bestFit="1" customWidth="1"/>
    <col min="11526" max="11526" width="17.28515625" style="1" bestFit="1" customWidth="1"/>
    <col min="11527" max="11527" width="15.7109375" style="1" bestFit="1" customWidth="1"/>
    <col min="11528" max="11777" width="9.140625" style="1"/>
    <col min="11778" max="11778" width="51.28515625" style="1" bestFit="1" customWidth="1"/>
    <col min="11779" max="11779" width="18.5703125" style="1" customWidth="1"/>
    <col min="11780" max="11780" width="22.5703125" style="1" bestFit="1" customWidth="1"/>
    <col min="11781" max="11781" width="14.5703125" style="1" bestFit="1" customWidth="1"/>
    <col min="11782" max="11782" width="17.28515625" style="1" bestFit="1" customWidth="1"/>
    <col min="11783" max="11783" width="15.7109375" style="1" bestFit="1" customWidth="1"/>
    <col min="11784" max="12033" width="9.140625" style="1"/>
    <col min="12034" max="12034" width="51.28515625" style="1" bestFit="1" customWidth="1"/>
    <col min="12035" max="12035" width="18.5703125" style="1" customWidth="1"/>
    <col min="12036" max="12036" width="22.5703125" style="1" bestFit="1" customWidth="1"/>
    <col min="12037" max="12037" width="14.5703125" style="1" bestFit="1" customWidth="1"/>
    <col min="12038" max="12038" width="17.28515625" style="1" bestFit="1" customWidth="1"/>
    <col min="12039" max="12039" width="15.7109375" style="1" bestFit="1" customWidth="1"/>
    <col min="12040" max="12289" width="9.140625" style="1"/>
    <col min="12290" max="12290" width="51.28515625" style="1" bestFit="1" customWidth="1"/>
    <col min="12291" max="12291" width="18.5703125" style="1" customWidth="1"/>
    <col min="12292" max="12292" width="22.5703125" style="1" bestFit="1" customWidth="1"/>
    <col min="12293" max="12293" width="14.5703125" style="1" bestFit="1" customWidth="1"/>
    <col min="12294" max="12294" width="17.28515625" style="1" bestFit="1" customWidth="1"/>
    <col min="12295" max="12295" width="15.7109375" style="1" bestFit="1" customWidth="1"/>
    <col min="12296" max="12545" width="9.140625" style="1"/>
    <col min="12546" max="12546" width="51.28515625" style="1" bestFit="1" customWidth="1"/>
    <col min="12547" max="12547" width="18.5703125" style="1" customWidth="1"/>
    <col min="12548" max="12548" width="22.5703125" style="1" bestFit="1" customWidth="1"/>
    <col min="12549" max="12549" width="14.5703125" style="1" bestFit="1" customWidth="1"/>
    <col min="12550" max="12550" width="17.28515625" style="1" bestFit="1" customWidth="1"/>
    <col min="12551" max="12551" width="15.7109375" style="1" bestFit="1" customWidth="1"/>
    <col min="12552" max="12801" width="9.140625" style="1"/>
    <col min="12802" max="12802" width="51.28515625" style="1" bestFit="1" customWidth="1"/>
    <col min="12803" max="12803" width="18.5703125" style="1" customWidth="1"/>
    <col min="12804" max="12804" width="22.5703125" style="1" bestFit="1" customWidth="1"/>
    <col min="12805" max="12805" width="14.5703125" style="1" bestFit="1" customWidth="1"/>
    <col min="12806" max="12806" width="17.28515625" style="1" bestFit="1" customWidth="1"/>
    <col min="12807" max="12807" width="15.7109375" style="1" bestFit="1" customWidth="1"/>
    <col min="12808" max="13057" width="9.140625" style="1"/>
    <col min="13058" max="13058" width="51.28515625" style="1" bestFit="1" customWidth="1"/>
    <col min="13059" max="13059" width="18.5703125" style="1" customWidth="1"/>
    <col min="13060" max="13060" width="22.5703125" style="1" bestFit="1" customWidth="1"/>
    <col min="13061" max="13061" width="14.5703125" style="1" bestFit="1" customWidth="1"/>
    <col min="13062" max="13062" width="17.28515625" style="1" bestFit="1" customWidth="1"/>
    <col min="13063" max="13063" width="15.7109375" style="1" bestFit="1" customWidth="1"/>
    <col min="13064" max="13313" width="9.140625" style="1"/>
    <col min="13314" max="13314" width="51.28515625" style="1" bestFit="1" customWidth="1"/>
    <col min="13315" max="13315" width="18.5703125" style="1" customWidth="1"/>
    <col min="13316" max="13316" width="22.5703125" style="1" bestFit="1" customWidth="1"/>
    <col min="13317" max="13317" width="14.5703125" style="1" bestFit="1" customWidth="1"/>
    <col min="13318" max="13318" width="17.28515625" style="1" bestFit="1" customWidth="1"/>
    <col min="13319" max="13319" width="15.7109375" style="1" bestFit="1" customWidth="1"/>
    <col min="13320" max="13569" width="9.140625" style="1"/>
    <col min="13570" max="13570" width="51.28515625" style="1" bestFit="1" customWidth="1"/>
    <col min="13571" max="13571" width="18.5703125" style="1" customWidth="1"/>
    <col min="13572" max="13572" width="22.5703125" style="1" bestFit="1" customWidth="1"/>
    <col min="13573" max="13573" width="14.5703125" style="1" bestFit="1" customWidth="1"/>
    <col min="13574" max="13574" width="17.28515625" style="1" bestFit="1" customWidth="1"/>
    <col min="13575" max="13575" width="15.7109375" style="1" bestFit="1" customWidth="1"/>
    <col min="13576" max="13825" width="9.140625" style="1"/>
    <col min="13826" max="13826" width="51.28515625" style="1" bestFit="1" customWidth="1"/>
    <col min="13827" max="13827" width="18.5703125" style="1" customWidth="1"/>
    <col min="13828" max="13828" width="22.5703125" style="1" bestFit="1" customWidth="1"/>
    <col min="13829" max="13829" width="14.5703125" style="1" bestFit="1" customWidth="1"/>
    <col min="13830" max="13830" width="17.28515625" style="1" bestFit="1" customWidth="1"/>
    <col min="13831" max="13831" width="15.7109375" style="1" bestFit="1" customWidth="1"/>
    <col min="13832" max="14081" width="9.140625" style="1"/>
    <col min="14082" max="14082" width="51.28515625" style="1" bestFit="1" customWidth="1"/>
    <col min="14083" max="14083" width="18.5703125" style="1" customWidth="1"/>
    <col min="14084" max="14084" width="22.5703125" style="1" bestFit="1" customWidth="1"/>
    <col min="14085" max="14085" width="14.5703125" style="1" bestFit="1" customWidth="1"/>
    <col min="14086" max="14086" width="17.28515625" style="1" bestFit="1" customWidth="1"/>
    <col min="14087" max="14087" width="15.7109375" style="1" bestFit="1" customWidth="1"/>
    <col min="14088" max="14337" width="9.140625" style="1"/>
    <col min="14338" max="14338" width="51.28515625" style="1" bestFit="1" customWidth="1"/>
    <col min="14339" max="14339" width="18.5703125" style="1" customWidth="1"/>
    <col min="14340" max="14340" width="22.5703125" style="1" bestFit="1" customWidth="1"/>
    <col min="14341" max="14341" width="14.5703125" style="1" bestFit="1" customWidth="1"/>
    <col min="14342" max="14342" width="17.28515625" style="1" bestFit="1" customWidth="1"/>
    <col min="14343" max="14343" width="15.7109375" style="1" bestFit="1" customWidth="1"/>
    <col min="14344" max="14593" width="9.140625" style="1"/>
    <col min="14594" max="14594" width="51.28515625" style="1" bestFit="1" customWidth="1"/>
    <col min="14595" max="14595" width="18.5703125" style="1" customWidth="1"/>
    <col min="14596" max="14596" width="22.5703125" style="1" bestFit="1" customWidth="1"/>
    <col min="14597" max="14597" width="14.5703125" style="1" bestFit="1" customWidth="1"/>
    <col min="14598" max="14598" width="17.28515625" style="1" bestFit="1" customWidth="1"/>
    <col min="14599" max="14599" width="15.7109375" style="1" bestFit="1" customWidth="1"/>
    <col min="14600" max="14849" width="9.140625" style="1"/>
    <col min="14850" max="14850" width="51.28515625" style="1" bestFit="1" customWidth="1"/>
    <col min="14851" max="14851" width="18.5703125" style="1" customWidth="1"/>
    <col min="14852" max="14852" width="22.5703125" style="1" bestFit="1" customWidth="1"/>
    <col min="14853" max="14853" width="14.5703125" style="1" bestFit="1" customWidth="1"/>
    <col min="14854" max="14854" width="17.28515625" style="1" bestFit="1" customWidth="1"/>
    <col min="14855" max="14855" width="15.7109375" style="1" bestFit="1" customWidth="1"/>
    <col min="14856" max="15105" width="9.140625" style="1"/>
    <col min="15106" max="15106" width="51.28515625" style="1" bestFit="1" customWidth="1"/>
    <col min="15107" max="15107" width="18.5703125" style="1" customWidth="1"/>
    <col min="15108" max="15108" width="22.5703125" style="1" bestFit="1" customWidth="1"/>
    <col min="15109" max="15109" width="14.5703125" style="1" bestFit="1" customWidth="1"/>
    <col min="15110" max="15110" width="17.28515625" style="1" bestFit="1" customWidth="1"/>
    <col min="15111" max="15111" width="15.7109375" style="1" bestFit="1" customWidth="1"/>
    <col min="15112" max="15361" width="9.140625" style="1"/>
    <col min="15362" max="15362" width="51.28515625" style="1" bestFit="1" customWidth="1"/>
    <col min="15363" max="15363" width="18.5703125" style="1" customWidth="1"/>
    <col min="15364" max="15364" width="22.5703125" style="1" bestFit="1" customWidth="1"/>
    <col min="15365" max="15365" width="14.5703125" style="1" bestFit="1" customWidth="1"/>
    <col min="15366" max="15366" width="17.28515625" style="1" bestFit="1" customWidth="1"/>
    <col min="15367" max="15367" width="15.7109375" style="1" bestFit="1" customWidth="1"/>
    <col min="15368" max="15617" width="9.140625" style="1"/>
    <col min="15618" max="15618" width="51.28515625" style="1" bestFit="1" customWidth="1"/>
    <col min="15619" max="15619" width="18.5703125" style="1" customWidth="1"/>
    <col min="15620" max="15620" width="22.5703125" style="1" bestFit="1" customWidth="1"/>
    <col min="15621" max="15621" width="14.5703125" style="1" bestFit="1" customWidth="1"/>
    <col min="15622" max="15622" width="17.28515625" style="1" bestFit="1" customWidth="1"/>
    <col min="15623" max="15623" width="15.7109375" style="1" bestFit="1" customWidth="1"/>
    <col min="15624" max="15873" width="9.140625" style="1"/>
    <col min="15874" max="15874" width="51.28515625" style="1" bestFit="1" customWidth="1"/>
    <col min="15875" max="15875" width="18.5703125" style="1" customWidth="1"/>
    <col min="15876" max="15876" width="22.5703125" style="1" bestFit="1" customWidth="1"/>
    <col min="15877" max="15877" width="14.5703125" style="1" bestFit="1" customWidth="1"/>
    <col min="15878" max="15878" width="17.28515625" style="1" bestFit="1" customWidth="1"/>
    <col min="15879" max="15879" width="15.7109375" style="1" bestFit="1" customWidth="1"/>
    <col min="15880" max="16129" width="9.140625" style="1"/>
    <col min="16130" max="16130" width="51.28515625" style="1" bestFit="1" customWidth="1"/>
    <col min="16131" max="16131" width="18.5703125" style="1" customWidth="1"/>
    <col min="16132" max="16132" width="22.5703125" style="1" bestFit="1" customWidth="1"/>
    <col min="16133" max="16133" width="14.5703125" style="1" bestFit="1" customWidth="1"/>
    <col min="16134" max="16134" width="17.28515625" style="1" bestFit="1" customWidth="1"/>
    <col min="16135" max="16135" width="15.7109375" style="1" bestFit="1" customWidth="1"/>
    <col min="16136" max="16384" width="9.140625" style="1"/>
  </cols>
  <sheetData>
    <row r="2" spans="2:7" ht="25.5" customHeight="1" x14ac:dyDescent="0.25">
      <c r="B2" s="175" t="s">
        <v>0</v>
      </c>
      <c r="C2" s="176"/>
      <c r="D2" s="176"/>
      <c r="E2" s="176"/>
      <c r="F2" s="176"/>
      <c r="G2" s="177"/>
    </row>
    <row r="3" spans="2:7" s="3" customFormat="1" x14ac:dyDescent="0.25">
      <c r="B3" s="2"/>
      <c r="C3" s="2"/>
      <c r="D3" s="2"/>
      <c r="E3" s="2"/>
      <c r="F3" s="2"/>
      <c r="G3" s="2"/>
    </row>
    <row r="4" spans="2:7" s="3" customFormat="1" ht="25.5" customHeight="1" x14ac:dyDescent="0.25">
      <c r="B4" s="178" t="s">
        <v>1</v>
      </c>
      <c r="C4" s="179"/>
      <c r="D4" s="179"/>
      <c r="E4" s="179"/>
      <c r="F4" s="179"/>
      <c r="G4" s="179"/>
    </row>
    <row r="5" spans="2:7" s="3" customFormat="1" x14ac:dyDescent="0.25">
      <c r="B5" s="4"/>
      <c r="C5" s="4"/>
      <c r="D5" s="4"/>
      <c r="E5" s="4"/>
      <c r="F5" s="4"/>
      <c r="G5" s="4"/>
    </row>
    <row r="6" spans="2:7" s="6" customFormat="1" ht="25.5" x14ac:dyDescent="0.2">
      <c r="B6" s="18" t="s">
        <v>2</v>
      </c>
      <c r="C6" s="18" t="s">
        <v>3</v>
      </c>
      <c r="D6" s="31" t="s">
        <v>4</v>
      </c>
      <c r="E6" s="18" t="s">
        <v>5</v>
      </c>
      <c r="F6" s="18" t="s">
        <v>6</v>
      </c>
      <c r="G6" s="18" t="s">
        <v>7</v>
      </c>
    </row>
    <row r="7" spans="2:7" x14ac:dyDescent="0.25">
      <c r="B7" s="7" t="str">
        <f>'Posto 1'!A6</f>
        <v>VIGILANTE LÍDER - noturno (12x36)</v>
      </c>
      <c r="C7" s="146">
        <f>'Posto 1'!D6</f>
        <v>1699.28</v>
      </c>
      <c r="D7" s="146">
        <f>'Posto 1'!D94</f>
        <v>5781.22</v>
      </c>
      <c r="E7" s="8">
        <v>2</v>
      </c>
      <c r="F7" s="146">
        <f>D7*E7</f>
        <v>11562.44</v>
      </c>
      <c r="G7" s="146">
        <f>F7*12</f>
        <v>138749.28</v>
      </c>
    </row>
    <row r="8" spans="2:7" x14ac:dyDescent="0.25">
      <c r="B8" s="7" t="str">
        <f>'Posto 2'!A6</f>
        <v>VIGILANTE - noturno (12x36)</v>
      </c>
      <c r="C8" s="146">
        <f>'Posto 2'!D6</f>
        <v>1699.28</v>
      </c>
      <c r="D8" s="146">
        <f>'Posto 2'!D93</f>
        <v>5309.43</v>
      </c>
      <c r="E8" s="8">
        <v>2</v>
      </c>
      <c r="F8" s="146">
        <f>D8*E8</f>
        <v>10618.86</v>
      </c>
      <c r="G8" s="146">
        <f>F8*12</f>
        <v>127426.32</v>
      </c>
    </row>
    <row r="9" spans="2:7" x14ac:dyDescent="0.25">
      <c r="B9" s="9" t="str">
        <f>'Posto 3'!A6</f>
        <v>VIGILANTE LÍDER - diurno (12x36)</v>
      </c>
      <c r="C9" s="146">
        <f>'Posto 3'!D6</f>
        <v>1699.28</v>
      </c>
      <c r="D9" s="146">
        <f>'Posto 3'!D92</f>
        <v>4803.4100000000008</v>
      </c>
      <c r="E9" s="8">
        <v>2</v>
      </c>
      <c r="F9" s="146">
        <f>D9*E9</f>
        <v>9606.8200000000015</v>
      </c>
      <c r="G9" s="146">
        <f>F9*12</f>
        <v>115281.84000000003</v>
      </c>
    </row>
    <row r="10" spans="2:7" x14ac:dyDescent="0.25">
      <c r="B10" s="9" t="str">
        <f>'Posto 4'!A6</f>
        <v>VIGILANTE - diurno (12x36)</v>
      </c>
      <c r="C10" s="146">
        <f>'Posto 4'!D6</f>
        <v>1699.28</v>
      </c>
      <c r="D10" s="146">
        <f>'Posto 4'!D91</f>
        <v>4420</v>
      </c>
      <c r="E10" s="8">
        <v>4</v>
      </c>
      <c r="F10" s="146">
        <f>D10*E10</f>
        <v>17680</v>
      </c>
      <c r="G10" s="146">
        <f>F10*12</f>
        <v>212160</v>
      </c>
    </row>
    <row r="11" spans="2:7" x14ac:dyDescent="0.25">
      <c r="B11" s="9" t="str">
        <f>'Posto 5'!A6</f>
        <v>VIGILANTE - diurno (44h/semana)</v>
      </c>
      <c r="C11" s="146">
        <f>'Posto 5'!D6</f>
        <v>1699.28</v>
      </c>
      <c r="D11" s="146">
        <f>'Posto 5'!D94</f>
        <v>4776.4400000000005</v>
      </c>
      <c r="E11" s="8">
        <v>4</v>
      </c>
      <c r="F11" s="146">
        <f>D11*E11</f>
        <v>19105.760000000002</v>
      </c>
      <c r="G11" s="146">
        <f>F11*12</f>
        <v>229269.12000000002</v>
      </c>
    </row>
    <row r="12" spans="2:7" s="12" customFormat="1" ht="25.5" customHeight="1" x14ac:dyDescent="0.25">
      <c r="B12" s="180" t="s">
        <v>8</v>
      </c>
      <c r="C12" s="180"/>
      <c r="D12" s="180"/>
      <c r="E12" s="180"/>
      <c r="F12" s="10">
        <f>SUM(F7:F11)</f>
        <v>68573.88</v>
      </c>
      <c r="G12" s="11">
        <f>SUM(G7:G11)</f>
        <v>822886.55999999994</v>
      </c>
    </row>
    <row r="13" spans="2:7" s="12" customFormat="1" ht="12.75" customHeight="1" x14ac:dyDescent="0.25">
      <c r="B13" s="13"/>
      <c r="C13" s="13"/>
      <c r="D13" s="13"/>
      <c r="E13" s="13"/>
      <c r="F13" s="14"/>
      <c r="G13" s="15"/>
    </row>
    <row r="14" spans="2:7" s="16" customFormat="1" ht="12.75" customHeight="1" x14ac:dyDescent="0.25">
      <c r="B14" s="173" t="s">
        <v>237</v>
      </c>
      <c r="C14" s="181"/>
      <c r="D14" s="181"/>
      <c r="E14" s="181"/>
      <c r="F14" s="181"/>
      <c r="G14" s="181"/>
    </row>
    <row r="15" spans="2:7" s="12" customFormat="1" ht="12.75" customHeight="1" x14ac:dyDescent="0.25">
      <c r="B15" s="17"/>
      <c r="C15" s="13"/>
      <c r="D15" s="13"/>
      <c r="E15" s="13"/>
      <c r="F15" s="14"/>
      <c r="G15" s="15"/>
    </row>
    <row r="16" spans="2:7" s="21" customFormat="1" ht="31.5" customHeight="1" x14ac:dyDescent="0.25">
      <c r="B16" s="18" t="s">
        <v>9</v>
      </c>
      <c r="C16" s="18" t="s">
        <v>5</v>
      </c>
      <c r="D16" s="31" t="s">
        <v>10</v>
      </c>
      <c r="E16" s="18" t="s">
        <v>11</v>
      </c>
      <c r="F16" s="19"/>
      <c r="G16" s="20"/>
    </row>
    <row r="17" spans="2:7" s="21" customFormat="1" ht="12.75" customHeight="1" x14ac:dyDescent="0.25">
      <c r="B17" s="22" t="s">
        <v>12</v>
      </c>
      <c r="C17" s="23">
        <v>7</v>
      </c>
      <c r="D17" s="24"/>
      <c r="E17" s="25">
        <f>C17*D17</f>
        <v>0</v>
      </c>
      <c r="F17" s="19">
        <f>MEDIAN(680,390,1091.52)</f>
        <v>680</v>
      </c>
      <c r="G17" s="20"/>
    </row>
    <row r="18" spans="2:7" s="21" customFormat="1" ht="12.75" customHeight="1" x14ac:dyDescent="0.25">
      <c r="B18" s="22" t="s">
        <v>13</v>
      </c>
      <c r="C18" s="23">
        <v>6</v>
      </c>
      <c r="D18" s="24"/>
      <c r="E18" s="25">
        <f>C18*D18</f>
        <v>0</v>
      </c>
      <c r="F18" s="19">
        <f>MEDIAN(2600,1600,1024.56)</f>
        <v>1600</v>
      </c>
      <c r="G18" s="20"/>
    </row>
    <row r="19" spans="2:7" s="21" customFormat="1" ht="12.75" customHeight="1" x14ac:dyDescent="0.25">
      <c r="B19" s="22" t="s">
        <v>14</v>
      </c>
      <c r="C19" s="23">
        <v>60</v>
      </c>
      <c r="D19" s="24"/>
      <c r="E19" s="25">
        <f>C19*D19</f>
        <v>0</v>
      </c>
      <c r="F19" s="19">
        <f>MEDIAN(120,4,12)</f>
        <v>12</v>
      </c>
      <c r="G19" s="20"/>
    </row>
    <row r="20" spans="2:7" s="21" customFormat="1" ht="12.75" customHeight="1" x14ac:dyDescent="0.25">
      <c r="B20" s="22" t="s">
        <v>15</v>
      </c>
      <c r="C20" s="23">
        <v>9</v>
      </c>
      <c r="D20" s="24"/>
      <c r="E20" s="25">
        <f>C20*D20</f>
        <v>0</v>
      </c>
      <c r="F20" s="19">
        <f>MEDIAN(800,636,1140)</f>
        <v>800</v>
      </c>
      <c r="G20" s="20"/>
    </row>
    <row r="21" spans="2:7" s="21" customFormat="1" ht="12.75" customHeight="1" x14ac:dyDescent="0.25">
      <c r="B21" s="22" t="s">
        <v>201</v>
      </c>
      <c r="C21" s="23">
        <v>10</v>
      </c>
      <c r="D21" s="24"/>
      <c r="E21" s="25">
        <f>C21*D21</f>
        <v>0</v>
      </c>
      <c r="F21" s="19">
        <f>MEDIAN(100,156,120)</f>
        <v>120</v>
      </c>
      <c r="G21" s="20"/>
    </row>
    <row r="22" spans="2:7" s="21" customFormat="1" ht="12.75" customHeight="1" x14ac:dyDescent="0.25">
      <c r="B22" s="182" t="s">
        <v>16</v>
      </c>
      <c r="C22" s="183"/>
      <c r="D22" s="184"/>
      <c r="E22" s="26">
        <f>SUM(E17:E21)</f>
        <v>0</v>
      </c>
      <c r="F22" s="27"/>
      <c r="G22" s="20"/>
    </row>
    <row r="23" spans="2:7" s="21" customFormat="1" ht="12.75" customHeight="1" x14ac:dyDescent="0.25">
      <c r="B23" s="28"/>
      <c r="C23" s="28"/>
      <c r="D23" s="28"/>
      <c r="E23" s="29"/>
      <c r="F23" s="27"/>
      <c r="G23" s="20"/>
    </row>
    <row r="24" spans="2:7" s="21" customFormat="1" ht="12.75" customHeight="1" x14ac:dyDescent="0.25">
      <c r="B24" s="173" t="s">
        <v>194</v>
      </c>
      <c r="C24" s="174"/>
      <c r="D24" s="174"/>
      <c r="E24" s="174"/>
      <c r="F24" s="174"/>
      <c r="G24" s="174"/>
    </row>
    <row r="25" spans="2:7" x14ac:dyDescent="0.25">
      <c r="D25" s="30"/>
    </row>
    <row r="26" spans="2:7" ht="25.5" customHeight="1" x14ac:dyDescent="0.25">
      <c r="B26" s="18" t="s">
        <v>17</v>
      </c>
      <c r="C26" s="31" t="s">
        <v>18</v>
      </c>
      <c r="D26" s="30"/>
    </row>
    <row r="27" spans="2:7" ht="12.75" customHeight="1" x14ac:dyDescent="0.25">
      <c r="B27" s="22" t="s">
        <v>19</v>
      </c>
      <c r="C27" s="24"/>
      <c r="D27" s="30">
        <f>MEDIAN(1180,718.8,714.35)</f>
        <v>718.8</v>
      </c>
    </row>
    <row r="28" spans="2:7" ht="12.75" customHeight="1" x14ac:dyDescent="0.25">
      <c r="B28" s="22" t="s">
        <v>20</v>
      </c>
      <c r="C28" s="24"/>
      <c r="D28" s="30">
        <f>MEDIAN(300,323.52,288.72)</f>
        <v>300</v>
      </c>
    </row>
    <row r="29" spans="2:7" ht="12.75" customHeight="1" x14ac:dyDescent="0.25">
      <c r="B29" s="22" t="s">
        <v>21</v>
      </c>
      <c r="C29" s="24"/>
      <c r="D29" s="30">
        <f>MEDIAN(0,538.78,27.84)</f>
        <v>27.84</v>
      </c>
    </row>
    <row r="30" spans="2:7" ht="25.5" customHeight="1" x14ac:dyDescent="0.25">
      <c r="B30" s="185" t="s">
        <v>236</v>
      </c>
      <c r="C30" s="186"/>
      <c r="D30" s="186"/>
      <c r="E30" s="186"/>
      <c r="F30" s="186"/>
      <c r="G30" s="186"/>
    </row>
    <row r="31" spans="2:7" ht="25.5" customHeight="1" x14ac:dyDescent="0.25">
      <c r="B31" s="187" t="s">
        <v>183</v>
      </c>
      <c r="C31" s="185"/>
      <c r="D31" s="185"/>
      <c r="E31" s="185"/>
      <c r="F31" s="185"/>
      <c r="G31" s="185"/>
    </row>
    <row r="32" spans="2:7" ht="12.75" customHeight="1" x14ac:dyDescent="0.25">
      <c r="B32" s="32"/>
      <c r="C32" s="33"/>
      <c r="D32" s="33"/>
      <c r="E32" s="33"/>
      <c r="F32" s="33"/>
      <c r="G32" s="33"/>
    </row>
    <row r="33" spans="2:8" s="34" customFormat="1" ht="25.5" customHeight="1" x14ac:dyDescent="0.25">
      <c r="B33" s="124" t="s">
        <v>143</v>
      </c>
      <c r="C33" s="31" t="s">
        <v>178</v>
      </c>
      <c r="D33" s="125"/>
      <c r="E33" s="1"/>
      <c r="F33" s="1"/>
      <c r="G33" s="1"/>
      <c r="H33" s="1"/>
    </row>
    <row r="34" spans="2:8" ht="12.75" customHeight="1" x14ac:dyDescent="0.25">
      <c r="B34" s="22" t="s">
        <v>222</v>
      </c>
      <c r="C34" s="126"/>
      <c r="D34" s="125"/>
    </row>
    <row r="35" spans="2:8" x14ac:dyDescent="0.25">
      <c r="B35" s="22" t="s">
        <v>223</v>
      </c>
      <c r="C35" s="126"/>
      <c r="D35" s="125"/>
    </row>
    <row r="36" spans="2:8" ht="12.75" customHeight="1" x14ac:dyDescent="0.25">
      <c r="B36" s="127"/>
      <c r="C36" s="128"/>
      <c r="D36" s="125"/>
    </row>
    <row r="37" spans="2:8" ht="12.75" customHeight="1" x14ac:dyDescent="0.25">
      <c r="B37" s="127"/>
      <c r="C37" s="128"/>
      <c r="D37" s="125"/>
    </row>
    <row r="38" spans="2:8" x14ac:dyDescent="0.25">
      <c r="B38" s="124" t="s">
        <v>179</v>
      </c>
      <c r="C38" s="31" t="s">
        <v>198</v>
      </c>
    </row>
    <row r="39" spans="2:8" ht="38.25" x14ac:dyDescent="0.25">
      <c r="B39" s="129" t="s">
        <v>224</v>
      </c>
      <c r="C39" s="126"/>
    </row>
    <row r="40" spans="2:8" x14ac:dyDescent="0.25">
      <c r="B40" s="17"/>
      <c r="C40" s="125"/>
      <c r="D40" s="125"/>
    </row>
    <row r="41" spans="2:8" s="6" customFormat="1" x14ac:dyDescent="0.25">
      <c r="B41" s="130" t="s">
        <v>22</v>
      </c>
      <c r="C41" s="31" t="s">
        <v>181</v>
      </c>
      <c r="D41" s="131"/>
      <c r="E41" s="1"/>
      <c r="F41" s="1"/>
      <c r="G41" s="1"/>
      <c r="H41" s="1"/>
    </row>
    <row r="42" spans="2:8" ht="12.75" customHeight="1" x14ac:dyDescent="0.25">
      <c r="B42" s="9" t="s">
        <v>24</v>
      </c>
      <c r="C42" s="132"/>
      <c r="D42" s="131"/>
      <c r="E42" s="125"/>
      <c r="F42" s="125"/>
      <c r="G42" s="133"/>
    </row>
    <row r="43" spans="2:8" x14ac:dyDescent="0.25">
      <c r="B43" s="35"/>
      <c r="C43" s="125"/>
    </row>
    <row r="44" spans="2:8" x14ac:dyDescent="0.25">
      <c r="B44" s="124" t="s">
        <v>25</v>
      </c>
      <c r="C44" s="18" t="s">
        <v>181</v>
      </c>
      <c r="D44" s="18" t="s">
        <v>186</v>
      </c>
    </row>
    <row r="45" spans="2:8" x14ac:dyDescent="0.25">
      <c r="B45" s="36" t="s">
        <v>187</v>
      </c>
      <c r="C45" s="136"/>
      <c r="D45" s="147">
        <f>TRUNC(C45*(SUM('Posto 1'!D9,'Posto 1'!D10,'Posto 1'!D11,'Posto 1'!D26,'Posto 1'!D29,'Posto 1'!D30,'Posto 1'!D78-3*'Posto 1'!D69-3*'Posto 1'!D70)*E7+SUM('Posto 2'!D9,'Posto 2'!D10,'Posto 2'!D25,'Posto 2'!D28,'Posto 2'!D29,'Posto 2'!D77-3*'Posto 2'!D68-3*'Posto 2'!D69)*E8+SUM('Posto 3'!D9,'Posto 3'!D10,'Posto 3'!D11,'Posto 3'!D24,'Posto 3'!D27,'Posto 3'!D28,'Posto 3'!D76-3*'Posto 3'!D67-3*'Posto 3'!D68)*E9+SUM('Posto 4'!D9,'Posto 4'!D10,'Posto 4'!D23,'Posto 4'!D75-3*'Posto 4'!D66-3*'Posto 4'!D67)*E10+SUM('Posto 5'!D9,'Posto 5'!D10,'Posto 5'!D26,'Posto 5'!D29,'Posto 5'!D30,'Posto 5'!D78-3*'Posto 5'!D69-3*'Posto 5'!D70)*E11),2)</f>
        <v>0</v>
      </c>
    </row>
    <row r="46" spans="2:8" x14ac:dyDescent="0.25">
      <c r="B46" s="36" t="s">
        <v>27</v>
      </c>
      <c r="C46" s="136"/>
      <c r="D46" s="148">
        <f>SUM('Posto 1'!D84*E7,'Posto 2'!D83*E8,'Posto 3'!D82*E9,'Posto 4'!D81*E10,'Posto 5'!D84*E11)</f>
        <v>0</v>
      </c>
    </row>
    <row r="47" spans="2:8" x14ac:dyDescent="0.25">
      <c r="B47" s="36" t="s">
        <v>238</v>
      </c>
      <c r="C47" s="149">
        <f>C45</f>
        <v>0</v>
      </c>
      <c r="D47" s="147">
        <f>SUM('Posto 1'!D83*E7,'Posto 2'!D82*E8,'Posto 3'!D81*E9,'Posto 4'!D80*E10,'Posto 5'!D83*E11)</f>
        <v>0</v>
      </c>
    </row>
    <row r="48" spans="2:8" ht="44.25" customHeight="1" x14ac:dyDescent="0.25">
      <c r="B48" s="185" t="s">
        <v>197</v>
      </c>
      <c r="C48" s="188"/>
      <c r="D48" s="188"/>
      <c r="E48" s="188"/>
      <c r="F48" s="188"/>
      <c r="G48" s="188"/>
      <c r="H48" s="172"/>
    </row>
    <row r="49" spans="2:8" ht="25.5" customHeight="1" x14ac:dyDescent="0.25">
      <c r="B49" s="185" t="s">
        <v>239</v>
      </c>
      <c r="C49" s="188"/>
      <c r="D49" s="188"/>
      <c r="E49" s="188"/>
      <c r="F49" s="188"/>
      <c r="G49" s="188"/>
      <c r="H49" s="172"/>
    </row>
    <row r="50" spans="2:8" ht="18.75" customHeight="1" x14ac:dyDescent="0.25">
      <c r="B50" s="35"/>
      <c r="C50" s="125"/>
    </row>
    <row r="51" spans="2:8" ht="12.75" customHeight="1" x14ac:dyDescent="0.25">
      <c r="B51" s="5" t="s">
        <v>28</v>
      </c>
      <c r="C51" s="18" t="s">
        <v>23</v>
      </c>
      <c r="D51" s="134"/>
      <c r="E51" s="135"/>
      <c r="F51" s="135"/>
      <c r="G51" s="135"/>
      <c r="H51" s="135"/>
    </row>
    <row r="52" spans="2:8" x14ac:dyDescent="0.25">
      <c r="B52" s="37" t="s">
        <v>29</v>
      </c>
      <c r="C52" s="136"/>
      <c r="D52" s="125"/>
      <c r="E52" s="135"/>
      <c r="F52" s="135"/>
      <c r="G52" s="135"/>
      <c r="H52" s="135"/>
    </row>
    <row r="53" spans="2:8" ht="12" customHeight="1" x14ac:dyDescent="0.25">
      <c r="B53" s="37" t="s">
        <v>30</v>
      </c>
      <c r="C53" s="136"/>
      <c r="D53" s="125"/>
      <c r="E53" s="135"/>
      <c r="F53" s="135"/>
      <c r="G53" s="135"/>
      <c r="H53" s="135"/>
    </row>
    <row r="54" spans="2:8" x14ac:dyDescent="0.25">
      <c r="B54" s="37" t="s">
        <v>31</v>
      </c>
      <c r="C54" s="136"/>
      <c r="D54" s="125"/>
      <c r="E54" s="125"/>
      <c r="F54" s="125"/>
      <c r="G54" s="125"/>
    </row>
    <row r="55" spans="2:8" s="35" customFormat="1" ht="12.75" customHeight="1" x14ac:dyDescent="0.25">
      <c r="B55" s="1"/>
      <c r="C55" s="125"/>
      <c r="D55" s="125"/>
      <c r="E55" s="125"/>
      <c r="F55" s="125"/>
      <c r="G55" s="125"/>
      <c r="H55" s="1"/>
    </row>
    <row r="56" spans="2:8" x14ac:dyDescent="0.25">
      <c r="B56" s="185" t="s">
        <v>182</v>
      </c>
      <c r="C56" s="188"/>
      <c r="D56" s="188"/>
      <c r="E56" s="188"/>
      <c r="F56" s="188"/>
      <c r="G56" s="188"/>
      <c r="H56" s="171"/>
    </row>
  </sheetData>
  <sheetProtection algorithmName="SHA-512" hashValue="3eTt/m2bCN8ZfaKyuLmWR0BwZVlZMI/l8n7eCmL6W1iOCdKAbOwauE/vHCnC3SKJxpNIrZO08vf91KcBrnix9A==" saltValue="qxjNPxYNodrv4Bt6ZV0Giw==" spinCount="100000" sheet="1" objects="1" scenarios="1"/>
  <mergeCells count="11">
    <mergeCell ref="B30:G30"/>
    <mergeCell ref="B31:G31"/>
    <mergeCell ref="B48:G48"/>
    <mergeCell ref="B49:G49"/>
    <mergeCell ref="B56:G56"/>
    <mergeCell ref="B24:G24"/>
    <mergeCell ref="B2:G2"/>
    <mergeCell ref="B4:G4"/>
    <mergeCell ref="B12:E12"/>
    <mergeCell ref="B14:G14"/>
    <mergeCell ref="B22:D2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C96" sqref="C96"/>
    </sheetView>
  </sheetViews>
  <sheetFormatPr defaultRowHeight="12.75" x14ac:dyDescent="0.2"/>
  <cols>
    <col min="1" max="1" width="75.5703125" style="35" customWidth="1"/>
    <col min="2" max="2" width="16.85546875" style="35" bestFit="1" customWidth="1"/>
    <col min="3" max="3" width="40" style="35" customWidth="1"/>
    <col min="4" max="4" width="13.140625" style="35" bestFit="1" customWidth="1"/>
    <col min="5" max="5" width="41.42578125" style="35" bestFit="1" customWidth="1"/>
    <col min="6" max="256" width="9.140625" style="35"/>
    <col min="257" max="257" width="75.5703125" style="35" customWidth="1"/>
    <col min="258" max="258" width="16.85546875" style="35" bestFit="1" customWidth="1"/>
    <col min="259" max="259" width="40" style="35" customWidth="1"/>
    <col min="260" max="260" width="13.140625" style="35" bestFit="1" customWidth="1"/>
    <col min="261" max="261" width="44.5703125" style="35" bestFit="1" customWidth="1"/>
    <col min="262" max="512" width="9.140625" style="35"/>
    <col min="513" max="513" width="75.5703125" style="35" customWidth="1"/>
    <col min="514" max="514" width="16.85546875" style="35" bestFit="1" customWidth="1"/>
    <col min="515" max="515" width="40" style="35" customWidth="1"/>
    <col min="516" max="516" width="13.140625" style="35" bestFit="1" customWidth="1"/>
    <col min="517" max="517" width="44.5703125" style="35" bestFit="1" customWidth="1"/>
    <col min="518" max="768" width="9.140625" style="35"/>
    <col min="769" max="769" width="75.5703125" style="35" customWidth="1"/>
    <col min="770" max="770" width="16.85546875" style="35" bestFit="1" customWidth="1"/>
    <col min="771" max="771" width="40" style="35" customWidth="1"/>
    <col min="772" max="772" width="13.140625" style="35" bestFit="1" customWidth="1"/>
    <col min="773" max="773" width="44.5703125" style="35" bestFit="1" customWidth="1"/>
    <col min="774" max="1024" width="9.140625" style="35"/>
    <col min="1025" max="1025" width="75.5703125" style="35" customWidth="1"/>
    <col min="1026" max="1026" width="16.85546875" style="35" bestFit="1" customWidth="1"/>
    <col min="1027" max="1027" width="40" style="35" customWidth="1"/>
    <col min="1028" max="1028" width="13.140625" style="35" bestFit="1" customWidth="1"/>
    <col min="1029" max="1029" width="44.5703125" style="35" bestFit="1" customWidth="1"/>
    <col min="1030" max="1280" width="9.140625" style="35"/>
    <col min="1281" max="1281" width="75.5703125" style="35" customWidth="1"/>
    <col min="1282" max="1282" width="16.85546875" style="35" bestFit="1" customWidth="1"/>
    <col min="1283" max="1283" width="40" style="35" customWidth="1"/>
    <col min="1284" max="1284" width="13.140625" style="35" bestFit="1" customWidth="1"/>
    <col min="1285" max="1285" width="44.5703125" style="35" bestFit="1" customWidth="1"/>
    <col min="1286" max="1536" width="9.140625" style="35"/>
    <col min="1537" max="1537" width="75.5703125" style="35" customWidth="1"/>
    <col min="1538" max="1538" width="16.85546875" style="35" bestFit="1" customWidth="1"/>
    <col min="1539" max="1539" width="40" style="35" customWidth="1"/>
    <col min="1540" max="1540" width="13.140625" style="35" bestFit="1" customWidth="1"/>
    <col min="1541" max="1541" width="44.5703125" style="35" bestFit="1" customWidth="1"/>
    <col min="1542" max="1792" width="9.140625" style="35"/>
    <col min="1793" max="1793" width="75.5703125" style="35" customWidth="1"/>
    <col min="1794" max="1794" width="16.85546875" style="35" bestFit="1" customWidth="1"/>
    <col min="1795" max="1795" width="40" style="35" customWidth="1"/>
    <col min="1796" max="1796" width="13.140625" style="35" bestFit="1" customWidth="1"/>
    <col min="1797" max="1797" width="44.5703125" style="35" bestFit="1" customWidth="1"/>
    <col min="1798" max="2048" width="9.140625" style="35"/>
    <col min="2049" max="2049" width="75.5703125" style="35" customWidth="1"/>
    <col min="2050" max="2050" width="16.85546875" style="35" bestFit="1" customWidth="1"/>
    <col min="2051" max="2051" width="40" style="35" customWidth="1"/>
    <col min="2052" max="2052" width="13.140625" style="35" bestFit="1" customWidth="1"/>
    <col min="2053" max="2053" width="44.5703125" style="35" bestFit="1" customWidth="1"/>
    <col min="2054" max="2304" width="9.140625" style="35"/>
    <col min="2305" max="2305" width="75.5703125" style="35" customWidth="1"/>
    <col min="2306" max="2306" width="16.85546875" style="35" bestFit="1" customWidth="1"/>
    <col min="2307" max="2307" width="40" style="35" customWidth="1"/>
    <col min="2308" max="2308" width="13.140625" style="35" bestFit="1" customWidth="1"/>
    <col min="2309" max="2309" width="44.5703125" style="35" bestFit="1" customWidth="1"/>
    <col min="2310" max="2560" width="9.140625" style="35"/>
    <col min="2561" max="2561" width="75.5703125" style="35" customWidth="1"/>
    <col min="2562" max="2562" width="16.85546875" style="35" bestFit="1" customWidth="1"/>
    <col min="2563" max="2563" width="40" style="35" customWidth="1"/>
    <col min="2564" max="2564" width="13.140625" style="35" bestFit="1" customWidth="1"/>
    <col min="2565" max="2565" width="44.5703125" style="35" bestFit="1" customWidth="1"/>
    <col min="2566" max="2816" width="9.140625" style="35"/>
    <col min="2817" max="2817" width="75.5703125" style="35" customWidth="1"/>
    <col min="2818" max="2818" width="16.85546875" style="35" bestFit="1" customWidth="1"/>
    <col min="2819" max="2819" width="40" style="35" customWidth="1"/>
    <col min="2820" max="2820" width="13.140625" style="35" bestFit="1" customWidth="1"/>
    <col min="2821" max="2821" width="44.5703125" style="35" bestFit="1" customWidth="1"/>
    <col min="2822" max="3072" width="9.140625" style="35"/>
    <col min="3073" max="3073" width="75.5703125" style="35" customWidth="1"/>
    <col min="3074" max="3074" width="16.85546875" style="35" bestFit="1" customWidth="1"/>
    <col min="3075" max="3075" width="40" style="35" customWidth="1"/>
    <col min="3076" max="3076" width="13.140625" style="35" bestFit="1" customWidth="1"/>
    <col min="3077" max="3077" width="44.5703125" style="35" bestFit="1" customWidth="1"/>
    <col min="3078" max="3328" width="9.140625" style="35"/>
    <col min="3329" max="3329" width="75.5703125" style="35" customWidth="1"/>
    <col min="3330" max="3330" width="16.85546875" style="35" bestFit="1" customWidth="1"/>
    <col min="3331" max="3331" width="40" style="35" customWidth="1"/>
    <col min="3332" max="3332" width="13.140625" style="35" bestFit="1" customWidth="1"/>
    <col min="3333" max="3333" width="44.5703125" style="35" bestFit="1" customWidth="1"/>
    <col min="3334" max="3584" width="9.140625" style="35"/>
    <col min="3585" max="3585" width="75.5703125" style="35" customWidth="1"/>
    <col min="3586" max="3586" width="16.85546875" style="35" bestFit="1" customWidth="1"/>
    <col min="3587" max="3587" width="40" style="35" customWidth="1"/>
    <col min="3588" max="3588" width="13.140625" style="35" bestFit="1" customWidth="1"/>
    <col min="3589" max="3589" width="44.5703125" style="35" bestFit="1" customWidth="1"/>
    <col min="3590" max="3840" width="9.140625" style="35"/>
    <col min="3841" max="3841" width="75.5703125" style="35" customWidth="1"/>
    <col min="3842" max="3842" width="16.85546875" style="35" bestFit="1" customWidth="1"/>
    <col min="3843" max="3843" width="40" style="35" customWidth="1"/>
    <col min="3844" max="3844" width="13.140625" style="35" bestFit="1" customWidth="1"/>
    <col min="3845" max="3845" width="44.5703125" style="35" bestFit="1" customWidth="1"/>
    <col min="3846" max="4096" width="9.140625" style="35"/>
    <col min="4097" max="4097" width="75.5703125" style="35" customWidth="1"/>
    <col min="4098" max="4098" width="16.85546875" style="35" bestFit="1" customWidth="1"/>
    <col min="4099" max="4099" width="40" style="35" customWidth="1"/>
    <col min="4100" max="4100" width="13.140625" style="35" bestFit="1" customWidth="1"/>
    <col min="4101" max="4101" width="44.5703125" style="35" bestFit="1" customWidth="1"/>
    <col min="4102" max="4352" width="9.140625" style="35"/>
    <col min="4353" max="4353" width="75.5703125" style="35" customWidth="1"/>
    <col min="4354" max="4354" width="16.85546875" style="35" bestFit="1" customWidth="1"/>
    <col min="4355" max="4355" width="40" style="35" customWidth="1"/>
    <col min="4356" max="4356" width="13.140625" style="35" bestFit="1" customWidth="1"/>
    <col min="4357" max="4357" width="44.5703125" style="35" bestFit="1" customWidth="1"/>
    <col min="4358" max="4608" width="9.140625" style="35"/>
    <col min="4609" max="4609" width="75.5703125" style="35" customWidth="1"/>
    <col min="4610" max="4610" width="16.85546875" style="35" bestFit="1" customWidth="1"/>
    <col min="4611" max="4611" width="40" style="35" customWidth="1"/>
    <col min="4612" max="4612" width="13.140625" style="35" bestFit="1" customWidth="1"/>
    <col min="4613" max="4613" width="44.5703125" style="35" bestFit="1" customWidth="1"/>
    <col min="4614" max="4864" width="9.140625" style="35"/>
    <col min="4865" max="4865" width="75.5703125" style="35" customWidth="1"/>
    <col min="4866" max="4866" width="16.85546875" style="35" bestFit="1" customWidth="1"/>
    <col min="4867" max="4867" width="40" style="35" customWidth="1"/>
    <col min="4868" max="4868" width="13.140625" style="35" bestFit="1" customWidth="1"/>
    <col min="4869" max="4869" width="44.5703125" style="35" bestFit="1" customWidth="1"/>
    <col min="4870" max="5120" width="9.140625" style="35"/>
    <col min="5121" max="5121" width="75.5703125" style="35" customWidth="1"/>
    <col min="5122" max="5122" width="16.85546875" style="35" bestFit="1" customWidth="1"/>
    <col min="5123" max="5123" width="40" style="35" customWidth="1"/>
    <col min="5124" max="5124" width="13.140625" style="35" bestFit="1" customWidth="1"/>
    <col min="5125" max="5125" width="44.5703125" style="35" bestFit="1" customWidth="1"/>
    <col min="5126" max="5376" width="9.140625" style="35"/>
    <col min="5377" max="5377" width="75.5703125" style="35" customWidth="1"/>
    <col min="5378" max="5378" width="16.85546875" style="35" bestFit="1" customWidth="1"/>
    <col min="5379" max="5379" width="40" style="35" customWidth="1"/>
    <col min="5380" max="5380" width="13.140625" style="35" bestFit="1" customWidth="1"/>
    <col min="5381" max="5381" width="44.5703125" style="35" bestFit="1" customWidth="1"/>
    <col min="5382" max="5632" width="9.140625" style="35"/>
    <col min="5633" max="5633" width="75.5703125" style="35" customWidth="1"/>
    <col min="5634" max="5634" width="16.85546875" style="35" bestFit="1" customWidth="1"/>
    <col min="5635" max="5635" width="40" style="35" customWidth="1"/>
    <col min="5636" max="5636" width="13.140625" style="35" bestFit="1" customWidth="1"/>
    <col min="5637" max="5637" width="44.5703125" style="35" bestFit="1" customWidth="1"/>
    <col min="5638" max="5888" width="9.140625" style="35"/>
    <col min="5889" max="5889" width="75.5703125" style="35" customWidth="1"/>
    <col min="5890" max="5890" width="16.85546875" style="35" bestFit="1" customWidth="1"/>
    <col min="5891" max="5891" width="40" style="35" customWidth="1"/>
    <col min="5892" max="5892" width="13.140625" style="35" bestFit="1" customWidth="1"/>
    <col min="5893" max="5893" width="44.5703125" style="35" bestFit="1" customWidth="1"/>
    <col min="5894" max="6144" width="9.140625" style="35"/>
    <col min="6145" max="6145" width="75.5703125" style="35" customWidth="1"/>
    <col min="6146" max="6146" width="16.85546875" style="35" bestFit="1" customWidth="1"/>
    <col min="6147" max="6147" width="40" style="35" customWidth="1"/>
    <col min="6148" max="6148" width="13.140625" style="35" bestFit="1" customWidth="1"/>
    <col min="6149" max="6149" width="44.5703125" style="35" bestFit="1" customWidth="1"/>
    <col min="6150" max="6400" width="9.140625" style="35"/>
    <col min="6401" max="6401" width="75.5703125" style="35" customWidth="1"/>
    <col min="6402" max="6402" width="16.85546875" style="35" bestFit="1" customWidth="1"/>
    <col min="6403" max="6403" width="40" style="35" customWidth="1"/>
    <col min="6404" max="6404" width="13.140625" style="35" bestFit="1" customWidth="1"/>
    <col min="6405" max="6405" width="44.5703125" style="35" bestFit="1" customWidth="1"/>
    <col min="6406" max="6656" width="9.140625" style="35"/>
    <col min="6657" max="6657" width="75.5703125" style="35" customWidth="1"/>
    <col min="6658" max="6658" width="16.85546875" style="35" bestFit="1" customWidth="1"/>
    <col min="6659" max="6659" width="40" style="35" customWidth="1"/>
    <col min="6660" max="6660" width="13.140625" style="35" bestFit="1" customWidth="1"/>
    <col min="6661" max="6661" width="44.5703125" style="35" bestFit="1" customWidth="1"/>
    <col min="6662" max="6912" width="9.140625" style="35"/>
    <col min="6913" max="6913" width="75.5703125" style="35" customWidth="1"/>
    <col min="6914" max="6914" width="16.85546875" style="35" bestFit="1" customWidth="1"/>
    <col min="6915" max="6915" width="40" style="35" customWidth="1"/>
    <col min="6916" max="6916" width="13.140625" style="35" bestFit="1" customWidth="1"/>
    <col min="6917" max="6917" width="44.5703125" style="35" bestFit="1" customWidth="1"/>
    <col min="6918" max="7168" width="9.140625" style="35"/>
    <col min="7169" max="7169" width="75.5703125" style="35" customWidth="1"/>
    <col min="7170" max="7170" width="16.85546875" style="35" bestFit="1" customWidth="1"/>
    <col min="7171" max="7171" width="40" style="35" customWidth="1"/>
    <col min="7172" max="7172" width="13.140625" style="35" bestFit="1" customWidth="1"/>
    <col min="7173" max="7173" width="44.5703125" style="35" bestFit="1" customWidth="1"/>
    <col min="7174" max="7424" width="9.140625" style="35"/>
    <col min="7425" max="7425" width="75.5703125" style="35" customWidth="1"/>
    <col min="7426" max="7426" width="16.85546875" style="35" bestFit="1" customWidth="1"/>
    <col min="7427" max="7427" width="40" style="35" customWidth="1"/>
    <col min="7428" max="7428" width="13.140625" style="35" bestFit="1" customWidth="1"/>
    <col min="7429" max="7429" width="44.5703125" style="35" bestFit="1" customWidth="1"/>
    <col min="7430" max="7680" width="9.140625" style="35"/>
    <col min="7681" max="7681" width="75.5703125" style="35" customWidth="1"/>
    <col min="7682" max="7682" width="16.85546875" style="35" bestFit="1" customWidth="1"/>
    <col min="7683" max="7683" width="40" style="35" customWidth="1"/>
    <col min="7684" max="7684" width="13.140625" style="35" bestFit="1" customWidth="1"/>
    <col min="7685" max="7685" width="44.5703125" style="35" bestFit="1" customWidth="1"/>
    <col min="7686" max="7936" width="9.140625" style="35"/>
    <col min="7937" max="7937" width="75.5703125" style="35" customWidth="1"/>
    <col min="7938" max="7938" width="16.85546875" style="35" bestFit="1" customWidth="1"/>
    <col min="7939" max="7939" width="40" style="35" customWidth="1"/>
    <col min="7940" max="7940" width="13.140625" style="35" bestFit="1" customWidth="1"/>
    <col min="7941" max="7941" width="44.5703125" style="35" bestFit="1" customWidth="1"/>
    <col min="7942" max="8192" width="9.140625" style="35"/>
    <col min="8193" max="8193" width="75.5703125" style="35" customWidth="1"/>
    <col min="8194" max="8194" width="16.85546875" style="35" bestFit="1" customWidth="1"/>
    <col min="8195" max="8195" width="40" style="35" customWidth="1"/>
    <col min="8196" max="8196" width="13.140625" style="35" bestFit="1" customWidth="1"/>
    <col min="8197" max="8197" width="44.5703125" style="35" bestFit="1" customWidth="1"/>
    <col min="8198" max="8448" width="9.140625" style="35"/>
    <col min="8449" max="8449" width="75.5703125" style="35" customWidth="1"/>
    <col min="8450" max="8450" width="16.85546875" style="35" bestFit="1" customWidth="1"/>
    <col min="8451" max="8451" width="40" style="35" customWidth="1"/>
    <col min="8452" max="8452" width="13.140625" style="35" bestFit="1" customWidth="1"/>
    <col min="8453" max="8453" width="44.5703125" style="35" bestFit="1" customWidth="1"/>
    <col min="8454" max="8704" width="9.140625" style="35"/>
    <col min="8705" max="8705" width="75.5703125" style="35" customWidth="1"/>
    <col min="8706" max="8706" width="16.85546875" style="35" bestFit="1" customWidth="1"/>
    <col min="8707" max="8707" width="40" style="35" customWidth="1"/>
    <col min="8708" max="8708" width="13.140625" style="35" bestFit="1" customWidth="1"/>
    <col min="8709" max="8709" width="44.5703125" style="35" bestFit="1" customWidth="1"/>
    <col min="8710" max="8960" width="9.140625" style="35"/>
    <col min="8961" max="8961" width="75.5703125" style="35" customWidth="1"/>
    <col min="8962" max="8962" width="16.85546875" style="35" bestFit="1" customWidth="1"/>
    <col min="8963" max="8963" width="40" style="35" customWidth="1"/>
    <col min="8964" max="8964" width="13.140625" style="35" bestFit="1" customWidth="1"/>
    <col min="8965" max="8965" width="44.5703125" style="35" bestFit="1" customWidth="1"/>
    <col min="8966" max="9216" width="9.140625" style="35"/>
    <col min="9217" max="9217" width="75.5703125" style="35" customWidth="1"/>
    <col min="9218" max="9218" width="16.85546875" style="35" bestFit="1" customWidth="1"/>
    <col min="9219" max="9219" width="40" style="35" customWidth="1"/>
    <col min="9220" max="9220" width="13.140625" style="35" bestFit="1" customWidth="1"/>
    <col min="9221" max="9221" width="44.5703125" style="35" bestFit="1" customWidth="1"/>
    <col min="9222" max="9472" width="9.140625" style="35"/>
    <col min="9473" max="9473" width="75.5703125" style="35" customWidth="1"/>
    <col min="9474" max="9474" width="16.85546875" style="35" bestFit="1" customWidth="1"/>
    <col min="9475" max="9475" width="40" style="35" customWidth="1"/>
    <col min="9476" max="9476" width="13.140625" style="35" bestFit="1" customWidth="1"/>
    <col min="9477" max="9477" width="44.5703125" style="35" bestFit="1" customWidth="1"/>
    <col min="9478" max="9728" width="9.140625" style="35"/>
    <col min="9729" max="9729" width="75.5703125" style="35" customWidth="1"/>
    <col min="9730" max="9730" width="16.85546875" style="35" bestFit="1" customWidth="1"/>
    <col min="9731" max="9731" width="40" style="35" customWidth="1"/>
    <col min="9732" max="9732" width="13.140625" style="35" bestFit="1" customWidth="1"/>
    <col min="9733" max="9733" width="44.5703125" style="35" bestFit="1" customWidth="1"/>
    <col min="9734" max="9984" width="9.140625" style="35"/>
    <col min="9985" max="9985" width="75.5703125" style="35" customWidth="1"/>
    <col min="9986" max="9986" width="16.85546875" style="35" bestFit="1" customWidth="1"/>
    <col min="9987" max="9987" width="40" style="35" customWidth="1"/>
    <col min="9988" max="9988" width="13.140625" style="35" bestFit="1" customWidth="1"/>
    <col min="9989" max="9989" width="44.5703125" style="35" bestFit="1" customWidth="1"/>
    <col min="9990" max="10240" width="9.140625" style="35"/>
    <col min="10241" max="10241" width="75.5703125" style="35" customWidth="1"/>
    <col min="10242" max="10242" width="16.85546875" style="35" bestFit="1" customWidth="1"/>
    <col min="10243" max="10243" width="40" style="35" customWidth="1"/>
    <col min="10244" max="10244" width="13.140625" style="35" bestFit="1" customWidth="1"/>
    <col min="10245" max="10245" width="44.5703125" style="35" bestFit="1" customWidth="1"/>
    <col min="10246" max="10496" width="9.140625" style="35"/>
    <col min="10497" max="10497" width="75.5703125" style="35" customWidth="1"/>
    <col min="10498" max="10498" width="16.85546875" style="35" bestFit="1" customWidth="1"/>
    <col min="10499" max="10499" width="40" style="35" customWidth="1"/>
    <col min="10500" max="10500" width="13.140625" style="35" bestFit="1" customWidth="1"/>
    <col min="10501" max="10501" width="44.5703125" style="35" bestFit="1" customWidth="1"/>
    <col min="10502" max="10752" width="9.140625" style="35"/>
    <col min="10753" max="10753" width="75.5703125" style="35" customWidth="1"/>
    <col min="10754" max="10754" width="16.85546875" style="35" bestFit="1" customWidth="1"/>
    <col min="10755" max="10755" width="40" style="35" customWidth="1"/>
    <col min="10756" max="10756" width="13.140625" style="35" bestFit="1" customWidth="1"/>
    <col min="10757" max="10757" width="44.5703125" style="35" bestFit="1" customWidth="1"/>
    <col min="10758" max="11008" width="9.140625" style="35"/>
    <col min="11009" max="11009" width="75.5703125" style="35" customWidth="1"/>
    <col min="11010" max="11010" width="16.85546875" style="35" bestFit="1" customWidth="1"/>
    <col min="11011" max="11011" width="40" style="35" customWidth="1"/>
    <col min="11012" max="11012" width="13.140625" style="35" bestFit="1" customWidth="1"/>
    <col min="11013" max="11013" width="44.5703125" style="35" bestFit="1" customWidth="1"/>
    <col min="11014" max="11264" width="9.140625" style="35"/>
    <col min="11265" max="11265" width="75.5703125" style="35" customWidth="1"/>
    <col min="11266" max="11266" width="16.85546875" style="35" bestFit="1" customWidth="1"/>
    <col min="11267" max="11267" width="40" style="35" customWidth="1"/>
    <col min="11268" max="11268" width="13.140625" style="35" bestFit="1" customWidth="1"/>
    <col min="11269" max="11269" width="44.5703125" style="35" bestFit="1" customWidth="1"/>
    <col min="11270" max="11520" width="9.140625" style="35"/>
    <col min="11521" max="11521" width="75.5703125" style="35" customWidth="1"/>
    <col min="11522" max="11522" width="16.85546875" style="35" bestFit="1" customWidth="1"/>
    <col min="11523" max="11523" width="40" style="35" customWidth="1"/>
    <col min="11524" max="11524" width="13.140625" style="35" bestFit="1" customWidth="1"/>
    <col min="11525" max="11525" width="44.5703125" style="35" bestFit="1" customWidth="1"/>
    <col min="11526" max="11776" width="9.140625" style="35"/>
    <col min="11777" max="11777" width="75.5703125" style="35" customWidth="1"/>
    <col min="11778" max="11778" width="16.85546875" style="35" bestFit="1" customWidth="1"/>
    <col min="11779" max="11779" width="40" style="35" customWidth="1"/>
    <col min="11780" max="11780" width="13.140625" style="35" bestFit="1" customWidth="1"/>
    <col min="11781" max="11781" width="44.5703125" style="35" bestFit="1" customWidth="1"/>
    <col min="11782" max="12032" width="9.140625" style="35"/>
    <col min="12033" max="12033" width="75.5703125" style="35" customWidth="1"/>
    <col min="12034" max="12034" width="16.85546875" style="35" bestFit="1" customWidth="1"/>
    <col min="12035" max="12035" width="40" style="35" customWidth="1"/>
    <col min="12036" max="12036" width="13.140625" style="35" bestFit="1" customWidth="1"/>
    <col min="12037" max="12037" width="44.5703125" style="35" bestFit="1" customWidth="1"/>
    <col min="12038" max="12288" width="9.140625" style="35"/>
    <col min="12289" max="12289" width="75.5703125" style="35" customWidth="1"/>
    <col min="12290" max="12290" width="16.85546875" style="35" bestFit="1" customWidth="1"/>
    <col min="12291" max="12291" width="40" style="35" customWidth="1"/>
    <col min="12292" max="12292" width="13.140625" style="35" bestFit="1" customWidth="1"/>
    <col min="12293" max="12293" width="44.5703125" style="35" bestFit="1" customWidth="1"/>
    <col min="12294" max="12544" width="9.140625" style="35"/>
    <col min="12545" max="12545" width="75.5703125" style="35" customWidth="1"/>
    <col min="12546" max="12546" width="16.85546875" style="35" bestFit="1" customWidth="1"/>
    <col min="12547" max="12547" width="40" style="35" customWidth="1"/>
    <col min="12548" max="12548" width="13.140625" style="35" bestFit="1" customWidth="1"/>
    <col min="12549" max="12549" width="44.5703125" style="35" bestFit="1" customWidth="1"/>
    <col min="12550" max="12800" width="9.140625" style="35"/>
    <col min="12801" max="12801" width="75.5703125" style="35" customWidth="1"/>
    <col min="12802" max="12802" width="16.85546875" style="35" bestFit="1" customWidth="1"/>
    <col min="12803" max="12803" width="40" style="35" customWidth="1"/>
    <col min="12804" max="12804" width="13.140625" style="35" bestFit="1" customWidth="1"/>
    <col min="12805" max="12805" width="44.5703125" style="35" bestFit="1" customWidth="1"/>
    <col min="12806" max="13056" width="9.140625" style="35"/>
    <col min="13057" max="13057" width="75.5703125" style="35" customWidth="1"/>
    <col min="13058" max="13058" width="16.85546875" style="35" bestFit="1" customWidth="1"/>
    <col min="13059" max="13059" width="40" style="35" customWidth="1"/>
    <col min="13060" max="13060" width="13.140625" style="35" bestFit="1" customWidth="1"/>
    <col min="13061" max="13061" width="44.5703125" style="35" bestFit="1" customWidth="1"/>
    <col min="13062" max="13312" width="9.140625" style="35"/>
    <col min="13313" max="13313" width="75.5703125" style="35" customWidth="1"/>
    <col min="13314" max="13314" width="16.85546875" style="35" bestFit="1" customWidth="1"/>
    <col min="13315" max="13315" width="40" style="35" customWidth="1"/>
    <col min="13316" max="13316" width="13.140625" style="35" bestFit="1" customWidth="1"/>
    <col min="13317" max="13317" width="44.5703125" style="35" bestFit="1" customWidth="1"/>
    <col min="13318" max="13568" width="9.140625" style="35"/>
    <col min="13569" max="13569" width="75.5703125" style="35" customWidth="1"/>
    <col min="13570" max="13570" width="16.85546875" style="35" bestFit="1" customWidth="1"/>
    <col min="13571" max="13571" width="40" style="35" customWidth="1"/>
    <col min="13572" max="13572" width="13.140625" style="35" bestFit="1" customWidth="1"/>
    <col min="13573" max="13573" width="44.5703125" style="35" bestFit="1" customWidth="1"/>
    <col min="13574" max="13824" width="9.140625" style="35"/>
    <col min="13825" max="13825" width="75.5703125" style="35" customWidth="1"/>
    <col min="13826" max="13826" width="16.85546875" style="35" bestFit="1" customWidth="1"/>
    <col min="13827" max="13827" width="40" style="35" customWidth="1"/>
    <col min="13828" max="13828" width="13.140625" style="35" bestFit="1" customWidth="1"/>
    <col min="13829" max="13829" width="44.5703125" style="35" bestFit="1" customWidth="1"/>
    <col min="13830" max="14080" width="9.140625" style="35"/>
    <col min="14081" max="14081" width="75.5703125" style="35" customWidth="1"/>
    <col min="14082" max="14082" width="16.85546875" style="35" bestFit="1" customWidth="1"/>
    <col min="14083" max="14083" width="40" style="35" customWidth="1"/>
    <col min="14084" max="14084" width="13.140625" style="35" bestFit="1" customWidth="1"/>
    <col min="14085" max="14085" width="44.5703125" style="35" bestFit="1" customWidth="1"/>
    <col min="14086" max="14336" width="9.140625" style="35"/>
    <col min="14337" max="14337" width="75.5703125" style="35" customWidth="1"/>
    <col min="14338" max="14338" width="16.85546875" style="35" bestFit="1" customWidth="1"/>
    <col min="14339" max="14339" width="40" style="35" customWidth="1"/>
    <col min="14340" max="14340" width="13.140625" style="35" bestFit="1" customWidth="1"/>
    <col min="14341" max="14341" width="44.5703125" style="35" bestFit="1" customWidth="1"/>
    <col min="14342" max="14592" width="9.140625" style="35"/>
    <col min="14593" max="14593" width="75.5703125" style="35" customWidth="1"/>
    <col min="14594" max="14594" width="16.85546875" style="35" bestFit="1" customWidth="1"/>
    <col min="14595" max="14595" width="40" style="35" customWidth="1"/>
    <col min="14596" max="14596" width="13.140625" style="35" bestFit="1" customWidth="1"/>
    <col min="14597" max="14597" width="44.5703125" style="35" bestFit="1" customWidth="1"/>
    <col min="14598" max="14848" width="9.140625" style="35"/>
    <col min="14849" max="14849" width="75.5703125" style="35" customWidth="1"/>
    <col min="14850" max="14850" width="16.85546875" style="35" bestFit="1" customWidth="1"/>
    <col min="14851" max="14851" width="40" style="35" customWidth="1"/>
    <col min="14852" max="14852" width="13.140625" style="35" bestFit="1" customWidth="1"/>
    <col min="14853" max="14853" width="44.5703125" style="35" bestFit="1" customWidth="1"/>
    <col min="14854" max="15104" width="9.140625" style="35"/>
    <col min="15105" max="15105" width="75.5703125" style="35" customWidth="1"/>
    <col min="15106" max="15106" width="16.85546875" style="35" bestFit="1" customWidth="1"/>
    <col min="15107" max="15107" width="40" style="35" customWidth="1"/>
    <col min="15108" max="15108" width="13.140625" style="35" bestFit="1" customWidth="1"/>
    <col min="15109" max="15109" width="44.5703125" style="35" bestFit="1" customWidth="1"/>
    <col min="15110" max="15360" width="9.140625" style="35"/>
    <col min="15361" max="15361" width="75.5703125" style="35" customWidth="1"/>
    <col min="15362" max="15362" width="16.85546875" style="35" bestFit="1" customWidth="1"/>
    <col min="15363" max="15363" width="40" style="35" customWidth="1"/>
    <col min="15364" max="15364" width="13.140625" style="35" bestFit="1" customWidth="1"/>
    <col min="15365" max="15365" width="44.5703125" style="35" bestFit="1" customWidth="1"/>
    <col min="15366" max="15616" width="9.140625" style="35"/>
    <col min="15617" max="15617" width="75.5703125" style="35" customWidth="1"/>
    <col min="15618" max="15618" width="16.85546875" style="35" bestFit="1" customWidth="1"/>
    <col min="15619" max="15619" width="40" style="35" customWidth="1"/>
    <col min="15620" max="15620" width="13.140625" style="35" bestFit="1" customWidth="1"/>
    <col min="15621" max="15621" width="44.5703125" style="35" bestFit="1" customWidth="1"/>
    <col min="15622" max="15872" width="9.140625" style="35"/>
    <col min="15873" max="15873" width="75.5703125" style="35" customWidth="1"/>
    <col min="15874" max="15874" width="16.85546875" style="35" bestFit="1" customWidth="1"/>
    <col min="15875" max="15875" width="40" style="35" customWidth="1"/>
    <col min="15876" max="15876" width="13.140625" style="35" bestFit="1" customWidth="1"/>
    <col min="15877" max="15877" width="44.5703125" style="35" bestFit="1" customWidth="1"/>
    <col min="15878" max="16128" width="9.140625" style="35"/>
    <col min="16129" max="16129" width="75.5703125" style="35" customWidth="1"/>
    <col min="16130" max="16130" width="16.85546875" style="35" bestFit="1" customWidth="1"/>
    <col min="16131" max="16131" width="40" style="35" customWidth="1"/>
    <col min="16132" max="16132" width="13.140625" style="35" bestFit="1" customWidth="1"/>
    <col min="16133" max="16133" width="44.5703125" style="35" bestFit="1" customWidth="1"/>
    <col min="16134" max="16384" width="9.140625" style="35"/>
  </cols>
  <sheetData>
    <row r="1" spans="1:6" ht="20.25" thickBot="1" x14ac:dyDescent="0.25">
      <c r="A1" s="192" t="s">
        <v>32</v>
      </c>
      <c r="B1" s="193"/>
      <c r="C1" s="193"/>
      <c r="D1" s="193"/>
      <c r="E1" s="194"/>
    </row>
    <row r="2" spans="1:6" ht="20.25" thickBot="1" x14ac:dyDescent="0.25">
      <c r="A2" s="38"/>
      <c r="B2" s="39"/>
      <c r="C2" s="39"/>
      <c r="D2" s="39"/>
      <c r="E2" s="40"/>
    </row>
    <row r="3" spans="1:6" ht="15.75" thickBot="1" x14ac:dyDescent="0.25">
      <c r="A3" s="195" t="s">
        <v>185</v>
      </c>
      <c r="B3" s="196"/>
      <c r="C3" s="196"/>
      <c r="D3" s="196"/>
      <c r="E3" s="197"/>
    </row>
    <row r="4" spans="1:6" ht="20.25" thickBot="1" x14ac:dyDescent="0.25">
      <c r="A4" s="41"/>
      <c r="B4" s="42"/>
      <c r="C4" s="42"/>
      <c r="D4" s="42"/>
      <c r="E4" s="43"/>
    </row>
    <row r="5" spans="1:6" x14ac:dyDescent="0.2">
      <c r="A5" s="44" t="s">
        <v>33</v>
      </c>
      <c r="B5" s="45" t="s">
        <v>34</v>
      </c>
      <c r="C5" s="45" t="s">
        <v>35</v>
      </c>
      <c r="D5" s="45" t="s">
        <v>36</v>
      </c>
      <c r="E5" s="46" t="s">
        <v>37</v>
      </c>
    </row>
    <row r="6" spans="1:6" ht="13.5" thickBot="1" x14ac:dyDescent="0.25">
      <c r="A6" s="47" t="s">
        <v>38</v>
      </c>
      <c r="B6" s="48" t="s">
        <v>34</v>
      </c>
      <c r="C6" s="48" t="s">
        <v>39</v>
      </c>
      <c r="D6" s="152">
        <v>1699.28</v>
      </c>
      <c r="E6" s="49" t="s">
        <v>34</v>
      </c>
    </row>
    <row r="7" spans="1:6" ht="13.5" thickBot="1" x14ac:dyDescent="0.25">
      <c r="A7" s="50"/>
      <c r="B7" s="17"/>
      <c r="C7" s="17"/>
      <c r="D7" s="17"/>
      <c r="E7" s="51"/>
    </row>
    <row r="8" spans="1:6" x14ac:dyDescent="0.2">
      <c r="A8" s="52" t="s">
        <v>40</v>
      </c>
      <c r="B8" s="45" t="s">
        <v>41</v>
      </c>
      <c r="C8" s="45" t="s">
        <v>35</v>
      </c>
      <c r="D8" s="45" t="s">
        <v>36</v>
      </c>
      <c r="E8" s="46" t="s">
        <v>37</v>
      </c>
    </row>
    <row r="9" spans="1:6" x14ac:dyDescent="0.2">
      <c r="A9" s="154" t="s">
        <v>42</v>
      </c>
      <c r="B9" s="54" t="s">
        <v>34</v>
      </c>
      <c r="C9" s="23" t="s">
        <v>34</v>
      </c>
      <c r="D9" s="55">
        <f>TRUNC(D6,2)</f>
        <v>1699.28</v>
      </c>
      <c r="E9" s="56" t="s">
        <v>34</v>
      </c>
      <c r="F9" s="151"/>
    </row>
    <row r="10" spans="1:6" x14ac:dyDescent="0.2">
      <c r="A10" s="155" t="s">
        <v>43</v>
      </c>
      <c r="B10" s="54" t="s">
        <v>34</v>
      </c>
      <c r="C10" s="54" t="s">
        <v>44</v>
      </c>
      <c r="D10" s="153">
        <f>TRUNC(D9*10%,2)</f>
        <v>169.92</v>
      </c>
      <c r="E10" s="58" t="s">
        <v>196</v>
      </c>
      <c r="F10" s="151"/>
    </row>
    <row r="11" spans="1:6" x14ac:dyDescent="0.2">
      <c r="A11" s="155" t="s">
        <v>46</v>
      </c>
      <c r="B11" s="54" t="s">
        <v>34</v>
      </c>
      <c r="C11" s="59" t="s">
        <v>217</v>
      </c>
      <c r="D11" s="153">
        <f>TRUNC((D9+D10)*30%,2)</f>
        <v>560.76</v>
      </c>
      <c r="E11" s="61" t="s">
        <v>34</v>
      </c>
      <c r="F11" s="151"/>
    </row>
    <row r="12" spans="1:6" ht="25.5" customHeight="1" x14ac:dyDescent="0.2">
      <c r="A12" s="57" t="s">
        <v>48</v>
      </c>
      <c r="B12" s="54">
        <v>106.47</v>
      </c>
      <c r="C12" s="59" t="s">
        <v>218</v>
      </c>
      <c r="D12" s="60">
        <f>TRUNC((SUM(D9:D11)/220)*40%*B12,2)</f>
        <v>470.39</v>
      </c>
      <c r="E12" s="62" t="s">
        <v>227</v>
      </c>
    </row>
    <row r="13" spans="1:6" ht="25.5" x14ac:dyDescent="0.2">
      <c r="A13" s="57" t="s">
        <v>50</v>
      </c>
      <c r="B13" s="54" t="s">
        <v>34</v>
      </c>
      <c r="C13" s="59" t="s">
        <v>228</v>
      </c>
      <c r="D13" s="60">
        <f>TRUNC(SUM(D12:D12)*5/25,2)</f>
        <v>94.07</v>
      </c>
      <c r="E13" s="62" t="s">
        <v>51</v>
      </c>
    </row>
    <row r="14" spans="1:6" ht="13.5" thickBot="1" x14ac:dyDescent="0.25">
      <c r="A14" s="65" t="s">
        <v>52</v>
      </c>
      <c r="B14" s="66" t="s">
        <v>34</v>
      </c>
      <c r="C14" s="67" t="s">
        <v>53</v>
      </c>
      <c r="D14" s="68">
        <f>SUM(D9:D13)</f>
        <v>2994.42</v>
      </c>
      <c r="E14" s="69" t="s">
        <v>34</v>
      </c>
    </row>
    <row r="15" spans="1:6" ht="13.5" thickBot="1" x14ac:dyDescent="0.25">
      <c r="A15" s="50"/>
      <c r="B15" s="70"/>
      <c r="C15" s="27"/>
      <c r="D15" s="17"/>
      <c r="E15" s="51"/>
    </row>
    <row r="16" spans="1:6" x14ac:dyDescent="0.2">
      <c r="A16" s="52" t="s">
        <v>54</v>
      </c>
      <c r="B16" s="45" t="s">
        <v>202</v>
      </c>
      <c r="C16" s="45" t="s">
        <v>35</v>
      </c>
      <c r="D16" s="45" t="s">
        <v>36</v>
      </c>
      <c r="E16" s="46" t="s">
        <v>37</v>
      </c>
    </row>
    <row r="17" spans="1:6" x14ac:dyDescent="0.2">
      <c r="A17" s="71" t="s">
        <v>56</v>
      </c>
      <c r="B17" s="72"/>
      <c r="C17" s="73"/>
      <c r="D17" s="74"/>
      <c r="E17" s="75"/>
    </row>
    <row r="18" spans="1:6" x14ac:dyDescent="0.2">
      <c r="A18" s="154" t="s">
        <v>57</v>
      </c>
      <c r="B18" s="161">
        <v>0.2</v>
      </c>
      <c r="C18" s="23" t="s">
        <v>58</v>
      </c>
      <c r="D18" s="76">
        <f t="shared" ref="D18:D25" si="0">TRUNC((B18)*$D$14,2)</f>
        <v>598.88</v>
      </c>
      <c r="E18" s="77" t="s">
        <v>59</v>
      </c>
    </row>
    <row r="19" spans="1:6" x14ac:dyDescent="0.2">
      <c r="A19" s="154" t="s">
        <v>60</v>
      </c>
      <c r="B19" s="161">
        <v>0.08</v>
      </c>
      <c r="C19" s="23" t="s">
        <v>61</v>
      </c>
      <c r="D19" s="76">
        <f t="shared" si="0"/>
        <v>239.55</v>
      </c>
      <c r="E19" s="77" t="s">
        <v>62</v>
      </c>
    </row>
    <row r="20" spans="1:6" x14ac:dyDescent="0.2">
      <c r="A20" s="154" t="s">
        <v>63</v>
      </c>
      <c r="B20" s="161">
        <v>1.4999999999999999E-2</v>
      </c>
      <c r="C20" s="23" t="s">
        <v>64</v>
      </c>
      <c r="D20" s="76">
        <f t="shared" si="0"/>
        <v>44.91</v>
      </c>
      <c r="E20" s="77" t="s">
        <v>65</v>
      </c>
    </row>
    <row r="21" spans="1:6" x14ac:dyDescent="0.2">
      <c r="A21" s="154" t="s">
        <v>66</v>
      </c>
      <c r="B21" s="161">
        <v>0.01</v>
      </c>
      <c r="C21" s="23" t="s">
        <v>67</v>
      </c>
      <c r="D21" s="76">
        <f t="shared" si="0"/>
        <v>29.94</v>
      </c>
      <c r="E21" s="77" t="s">
        <v>68</v>
      </c>
    </row>
    <row r="22" spans="1:6" x14ac:dyDescent="0.2">
      <c r="A22" s="154" t="s">
        <v>69</v>
      </c>
      <c r="B22" s="161">
        <v>2E-3</v>
      </c>
      <c r="C22" s="23" t="s">
        <v>70</v>
      </c>
      <c r="D22" s="76">
        <f t="shared" si="0"/>
        <v>5.98</v>
      </c>
      <c r="E22" s="77" t="s">
        <v>71</v>
      </c>
    </row>
    <row r="23" spans="1:6" x14ac:dyDescent="0.2">
      <c r="A23" s="154" t="s">
        <v>72</v>
      </c>
      <c r="B23" s="161">
        <v>6.0000000000000001E-3</v>
      </c>
      <c r="C23" s="23" t="s">
        <v>73</v>
      </c>
      <c r="D23" s="76">
        <f t="shared" si="0"/>
        <v>17.96</v>
      </c>
      <c r="E23" s="77" t="s">
        <v>74</v>
      </c>
    </row>
    <row r="24" spans="1:6" x14ac:dyDescent="0.2">
      <c r="A24" s="154" t="s">
        <v>75</v>
      </c>
      <c r="B24" s="161">
        <v>2.5000000000000001E-2</v>
      </c>
      <c r="C24" s="23" t="s">
        <v>76</v>
      </c>
      <c r="D24" s="76">
        <f t="shared" si="0"/>
        <v>74.86</v>
      </c>
      <c r="E24" s="77" t="s">
        <v>77</v>
      </c>
    </row>
    <row r="25" spans="1:6" x14ac:dyDescent="0.2">
      <c r="A25" s="156" t="s">
        <v>78</v>
      </c>
      <c r="B25" s="159">
        <f>'Quadro resumo'!C42</f>
        <v>0</v>
      </c>
      <c r="C25" s="23" t="s">
        <v>79</v>
      </c>
      <c r="D25" s="79">
        <f t="shared" si="0"/>
        <v>0</v>
      </c>
      <c r="E25" s="77" t="s">
        <v>80</v>
      </c>
    </row>
    <row r="26" spans="1:6" ht="13.5" thickBot="1" x14ac:dyDescent="0.25">
      <c r="A26" s="65" t="s">
        <v>81</v>
      </c>
      <c r="B26" s="165">
        <f>SUM(B18:B25)</f>
        <v>0.33800000000000008</v>
      </c>
      <c r="C26" s="66" t="s">
        <v>53</v>
      </c>
      <c r="D26" s="81">
        <f>SUM(D18:D25)</f>
        <v>1012.0800000000002</v>
      </c>
      <c r="E26" s="69" t="s">
        <v>34</v>
      </c>
      <c r="F26" s="151"/>
    </row>
    <row r="27" spans="1:6" ht="13.5" thickBot="1" x14ac:dyDescent="0.25">
      <c r="A27" s="50"/>
      <c r="B27" s="17"/>
      <c r="C27" s="17"/>
      <c r="D27" s="17"/>
      <c r="E27" s="51"/>
    </row>
    <row r="28" spans="1:6" x14ac:dyDescent="0.2">
      <c r="A28" s="52" t="s">
        <v>82</v>
      </c>
      <c r="B28" s="45" t="s">
        <v>202</v>
      </c>
      <c r="C28" s="45" t="s">
        <v>35</v>
      </c>
      <c r="D28" s="45" t="s">
        <v>36</v>
      </c>
      <c r="E28" s="46" t="s">
        <v>37</v>
      </c>
    </row>
    <row r="29" spans="1:6" x14ac:dyDescent="0.2">
      <c r="A29" s="154" t="s">
        <v>83</v>
      </c>
      <c r="B29" s="164">
        <f>1/12</f>
        <v>8.3333333333333329E-2</v>
      </c>
      <c r="C29" s="23" t="s">
        <v>206</v>
      </c>
      <c r="D29" s="79">
        <f t="shared" ref="D29:D36" si="1">TRUNC((B29)*$D$14,2)</f>
        <v>249.53</v>
      </c>
      <c r="E29" s="77" t="s">
        <v>84</v>
      </c>
    </row>
    <row r="30" spans="1:6" x14ac:dyDescent="0.2">
      <c r="A30" s="154" t="s">
        <v>85</v>
      </c>
      <c r="B30" s="161">
        <f>((1+1/3)/12)</f>
        <v>0.1111111111111111</v>
      </c>
      <c r="C30" s="23" t="s">
        <v>207</v>
      </c>
      <c r="D30" s="79">
        <f t="shared" si="1"/>
        <v>332.71</v>
      </c>
      <c r="E30" s="77" t="s">
        <v>86</v>
      </c>
    </row>
    <row r="31" spans="1:6" x14ac:dyDescent="0.2">
      <c r="A31" s="53" t="s">
        <v>87</v>
      </c>
      <c r="B31" s="161">
        <f>((7/30)/12)</f>
        <v>1.9444444444444445E-2</v>
      </c>
      <c r="C31" s="23" t="s">
        <v>208</v>
      </c>
      <c r="D31" s="79">
        <f t="shared" si="1"/>
        <v>58.22</v>
      </c>
      <c r="E31" s="77" t="s">
        <v>88</v>
      </c>
    </row>
    <row r="32" spans="1:6" x14ac:dyDescent="0.2">
      <c r="A32" s="53" t="s">
        <v>89</v>
      </c>
      <c r="B32" s="161">
        <f>((5/30)/12)</f>
        <v>1.3888888888888888E-2</v>
      </c>
      <c r="C32" s="23" t="s">
        <v>209</v>
      </c>
      <c r="D32" s="79">
        <f t="shared" si="1"/>
        <v>41.58</v>
      </c>
      <c r="E32" s="77" t="s">
        <v>90</v>
      </c>
    </row>
    <row r="33" spans="1:5" x14ac:dyDescent="0.2">
      <c r="A33" s="53" t="s">
        <v>91</v>
      </c>
      <c r="B33" s="161">
        <f>((15/30)/12)*1%</f>
        <v>4.1666666666666664E-4</v>
      </c>
      <c r="C33" s="23" t="s">
        <v>211</v>
      </c>
      <c r="D33" s="79">
        <f t="shared" si="1"/>
        <v>1.24</v>
      </c>
      <c r="E33" s="77" t="s">
        <v>92</v>
      </c>
    </row>
    <row r="34" spans="1:5" x14ac:dyDescent="0.2">
      <c r="A34" s="53" t="s">
        <v>93</v>
      </c>
      <c r="B34" s="161">
        <f>(1/30)/12</f>
        <v>2.7777777777777779E-3</v>
      </c>
      <c r="C34" s="82" t="s">
        <v>210</v>
      </c>
      <c r="D34" s="79">
        <f t="shared" si="1"/>
        <v>8.31</v>
      </c>
      <c r="E34" s="77" t="s">
        <v>94</v>
      </c>
    </row>
    <row r="35" spans="1:5" ht="25.5" x14ac:dyDescent="0.2">
      <c r="A35" s="53" t="s">
        <v>95</v>
      </c>
      <c r="B35" s="161">
        <f>((1+1/3)/12)*1.5%*(4/12)</f>
        <v>5.5555555555555545E-4</v>
      </c>
      <c r="C35" s="63" t="s">
        <v>240</v>
      </c>
      <c r="D35" s="79">
        <f t="shared" si="1"/>
        <v>1.66</v>
      </c>
      <c r="E35" s="83" t="s">
        <v>96</v>
      </c>
    </row>
    <row r="36" spans="1:5" ht="14.25" x14ac:dyDescent="0.2">
      <c r="A36" s="53" t="s">
        <v>97</v>
      </c>
      <c r="B36" s="161">
        <f>((5/30)/12)*1.5%</f>
        <v>2.0833333333333332E-4</v>
      </c>
      <c r="C36" s="23" t="s">
        <v>214</v>
      </c>
      <c r="D36" s="79">
        <f t="shared" si="1"/>
        <v>0.62</v>
      </c>
      <c r="E36" s="77" t="s">
        <v>98</v>
      </c>
    </row>
    <row r="37" spans="1:5" ht="13.5" thickBot="1" x14ac:dyDescent="0.25">
      <c r="A37" s="65" t="s">
        <v>99</v>
      </c>
      <c r="B37" s="165">
        <f>SUM(B29:B36)</f>
        <v>0.23173611111111109</v>
      </c>
      <c r="C37" s="66" t="s">
        <v>53</v>
      </c>
      <c r="D37" s="67">
        <f>SUM(D29:D36)</f>
        <v>693.87</v>
      </c>
      <c r="E37" s="69" t="s">
        <v>34</v>
      </c>
    </row>
    <row r="38" spans="1:5" ht="14.25" x14ac:dyDescent="0.2">
      <c r="A38" s="50" t="s">
        <v>100</v>
      </c>
      <c r="B38" s="17"/>
      <c r="C38" s="17" t="s">
        <v>101</v>
      </c>
      <c r="D38" s="17"/>
      <c r="E38" s="51"/>
    </row>
    <row r="39" spans="1:5" ht="14.25" x14ac:dyDescent="0.2">
      <c r="A39" s="50" t="s">
        <v>102</v>
      </c>
      <c r="B39" s="17"/>
      <c r="C39" s="17" t="s">
        <v>241</v>
      </c>
      <c r="D39" s="84"/>
      <c r="E39" s="51"/>
    </row>
    <row r="40" spans="1:5" ht="15" thickBot="1" x14ac:dyDescent="0.25">
      <c r="A40" s="50" t="s">
        <v>103</v>
      </c>
      <c r="B40" s="17"/>
      <c r="C40" s="17" t="s">
        <v>203</v>
      </c>
      <c r="D40" s="84"/>
      <c r="E40" s="51"/>
    </row>
    <row r="41" spans="1:5" x14ac:dyDescent="0.2">
      <c r="A41" s="52" t="s">
        <v>105</v>
      </c>
      <c r="B41" s="45" t="s">
        <v>202</v>
      </c>
      <c r="C41" s="45" t="s">
        <v>35</v>
      </c>
      <c r="D41" s="45" t="s">
        <v>36</v>
      </c>
      <c r="E41" s="46" t="s">
        <v>37</v>
      </c>
    </row>
    <row r="42" spans="1:5" x14ac:dyDescent="0.2">
      <c r="A42" s="53" t="s">
        <v>106</v>
      </c>
      <c r="B42" s="164">
        <f>25%*(1/12)</f>
        <v>2.0833333333333332E-2</v>
      </c>
      <c r="C42" s="23" t="s">
        <v>215</v>
      </c>
      <c r="D42" s="79">
        <f>TRUNC(B42*$D$14,2)</f>
        <v>62.38</v>
      </c>
      <c r="E42" s="77" t="s">
        <v>107</v>
      </c>
    </row>
    <row r="43" spans="1:5" x14ac:dyDescent="0.2">
      <c r="A43" s="53" t="s">
        <v>108</v>
      </c>
      <c r="B43" s="161">
        <f>25%*(1/12)</f>
        <v>2.0833333333333332E-2</v>
      </c>
      <c r="C43" s="23" t="s">
        <v>215</v>
      </c>
      <c r="D43" s="79">
        <f>TRUNC(B43*$D$14,2)</f>
        <v>62.38</v>
      </c>
      <c r="E43" s="77" t="s">
        <v>109</v>
      </c>
    </row>
    <row r="44" spans="1:5" x14ac:dyDescent="0.2">
      <c r="A44" s="53" t="s">
        <v>110</v>
      </c>
      <c r="B44" s="161">
        <f>40%*8%</f>
        <v>3.2000000000000001E-2</v>
      </c>
      <c r="C44" s="23" t="s">
        <v>212</v>
      </c>
      <c r="D44" s="79">
        <f>TRUNC(B44*$D$14,2)</f>
        <v>95.82</v>
      </c>
      <c r="E44" s="77" t="s">
        <v>111</v>
      </c>
    </row>
    <row r="45" spans="1:5" ht="14.25" x14ac:dyDescent="0.2">
      <c r="A45" s="53" t="s">
        <v>112</v>
      </c>
      <c r="B45" s="161">
        <f>10%*8%</f>
        <v>8.0000000000000002E-3</v>
      </c>
      <c r="C45" s="23" t="s">
        <v>213</v>
      </c>
      <c r="D45" s="79">
        <f>TRUNC(B45*$D$14,2)</f>
        <v>23.95</v>
      </c>
      <c r="E45" s="77" t="s">
        <v>113</v>
      </c>
    </row>
    <row r="46" spans="1:5" ht="13.5" thickBot="1" x14ac:dyDescent="0.25">
      <c r="A46" s="65" t="s">
        <v>114</v>
      </c>
      <c r="B46" s="160">
        <f>SUM(B42:B45)</f>
        <v>8.1666666666666665E-2</v>
      </c>
      <c r="C46" s="66" t="s">
        <v>53</v>
      </c>
      <c r="D46" s="67">
        <f>SUM(D42:D45)</f>
        <v>244.52999999999997</v>
      </c>
      <c r="E46" s="69" t="s">
        <v>34</v>
      </c>
    </row>
    <row r="47" spans="1:5" x14ac:dyDescent="0.2">
      <c r="A47" s="50" t="s">
        <v>115</v>
      </c>
      <c r="B47" s="17"/>
      <c r="C47" s="17" t="s">
        <v>116</v>
      </c>
      <c r="D47" s="17"/>
      <c r="E47" s="51"/>
    </row>
    <row r="48" spans="1:5" ht="27" customHeight="1" thickBot="1" x14ac:dyDescent="0.25">
      <c r="A48" s="198" t="s">
        <v>117</v>
      </c>
      <c r="B48" s="199"/>
      <c r="C48" s="17" t="s">
        <v>118</v>
      </c>
      <c r="D48" s="85"/>
      <c r="E48" s="86"/>
    </row>
    <row r="49" spans="1:5" x14ac:dyDescent="0.2">
      <c r="A49" s="52" t="s">
        <v>119</v>
      </c>
      <c r="B49" s="45" t="s">
        <v>202</v>
      </c>
      <c r="C49" s="45" t="s">
        <v>35</v>
      </c>
      <c r="D49" s="45" t="s">
        <v>36</v>
      </c>
      <c r="E49" s="46" t="s">
        <v>37</v>
      </c>
    </row>
    <row r="50" spans="1:5" x14ac:dyDescent="0.2">
      <c r="A50" s="53" t="s">
        <v>120</v>
      </c>
      <c r="B50" s="164">
        <f>B26*B37</f>
        <v>7.8326805555555559E-2</v>
      </c>
      <c r="C50" s="23" t="s">
        <v>204</v>
      </c>
      <c r="D50" s="79">
        <f>TRUNC((B50)*$D$14,2)</f>
        <v>234.54</v>
      </c>
      <c r="E50" s="56" t="s">
        <v>34</v>
      </c>
    </row>
    <row r="51" spans="1:5" ht="13.5" thickBot="1" x14ac:dyDescent="0.25">
      <c r="A51" s="65" t="s">
        <v>122</v>
      </c>
      <c r="B51" s="165">
        <f>B50</f>
        <v>7.8326805555555559E-2</v>
      </c>
      <c r="C51" s="66" t="s">
        <v>53</v>
      </c>
      <c r="D51" s="67">
        <f>D50</f>
        <v>234.54</v>
      </c>
      <c r="E51" s="69" t="s">
        <v>34</v>
      </c>
    </row>
    <row r="52" spans="1:5" ht="13.5" thickBot="1" x14ac:dyDescent="0.25">
      <c r="A52" s="50"/>
      <c r="B52" s="17"/>
      <c r="C52" s="17"/>
      <c r="D52" s="17"/>
      <c r="E52" s="51"/>
    </row>
    <row r="53" spans="1:5" x14ac:dyDescent="0.2">
      <c r="A53" s="52" t="s">
        <v>123</v>
      </c>
      <c r="B53" s="45" t="s">
        <v>202</v>
      </c>
      <c r="C53" s="45" t="s">
        <v>35</v>
      </c>
      <c r="D53" s="45" t="s">
        <v>36</v>
      </c>
      <c r="E53" s="46" t="s">
        <v>37</v>
      </c>
    </row>
    <row r="54" spans="1:5" x14ac:dyDescent="0.2">
      <c r="A54" s="87" t="s">
        <v>125</v>
      </c>
      <c r="B54" s="163">
        <f>(B19*B42)</f>
        <v>1.6666666666666666E-3</v>
      </c>
      <c r="C54" s="23" t="s">
        <v>126</v>
      </c>
      <c r="D54" s="79">
        <f>TRUNC((B54)*$D$14,2)</f>
        <v>4.99</v>
      </c>
      <c r="E54" s="77" t="s">
        <v>127</v>
      </c>
    </row>
    <row r="55" spans="1:5" ht="25.5" x14ac:dyDescent="0.2">
      <c r="A55" s="78" t="s">
        <v>128</v>
      </c>
      <c r="B55" s="161">
        <f>(B19*B33)</f>
        <v>3.3333333333333335E-5</v>
      </c>
      <c r="C55" s="23" t="s">
        <v>129</v>
      </c>
      <c r="D55" s="79">
        <f>TRUNC((B55)*$D$14,2)</f>
        <v>0.09</v>
      </c>
      <c r="E55" s="56" t="s">
        <v>34</v>
      </c>
    </row>
    <row r="56" spans="1:5" ht="13.5" thickBot="1" x14ac:dyDescent="0.25">
      <c r="A56" s="65" t="s">
        <v>130</v>
      </c>
      <c r="B56" s="165">
        <f>SUM(B54:B55)</f>
        <v>1.6999999999999999E-3</v>
      </c>
      <c r="C56" s="66" t="s">
        <v>53</v>
      </c>
      <c r="D56" s="81">
        <f>SUM(D54:D55)</f>
        <v>5.08</v>
      </c>
      <c r="E56" s="69" t="s">
        <v>34</v>
      </c>
    </row>
    <row r="57" spans="1:5" ht="27" customHeight="1" thickBot="1" x14ac:dyDescent="0.25">
      <c r="A57" s="200" t="s">
        <v>131</v>
      </c>
      <c r="B57" s="201"/>
      <c r="C57" s="201"/>
      <c r="D57" s="201"/>
      <c r="E57" s="202"/>
    </row>
    <row r="58" spans="1:5" x14ac:dyDescent="0.2">
      <c r="A58" s="52" t="s">
        <v>132</v>
      </c>
      <c r="B58" s="45" t="s">
        <v>202</v>
      </c>
      <c r="C58" s="45" t="s">
        <v>35</v>
      </c>
      <c r="D58" s="45" t="s">
        <v>36</v>
      </c>
      <c r="E58" s="46" t="s">
        <v>37</v>
      </c>
    </row>
    <row r="59" spans="1:5" ht="38.25" x14ac:dyDescent="0.2">
      <c r="A59" s="78" t="s">
        <v>133</v>
      </c>
      <c r="B59" s="88">
        <f>B26*(13/12)*(4/12)*1.5%</f>
        <v>1.8308333333333336E-3</v>
      </c>
      <c r="C59" s="88" t="s">
        <v>243</v>
      </c>
      <c r="D59" s="79">
        <f>TRUNC((B59)*$D$14,2)</f>
        <v>5.48</v>
      </c>
      <c r="E59" s="83" t="s">
        <v>242</v>
      </c>
    </row>
    <row r="60" spans="1:5" ht="13.5" thickBot="1" x14ac:dyDescent="0.25">
      <c r="A60" s="65" t="s">
        <v>134</v>
      </c>
      <c r="B60" s="165">
        <f>B59</f>
        <v>1.8308333333333336E-3</v>
      </c>
      <c r="C60" s="66" t="s">
        <v>53</v>
      </c>
      <c r="D60" s="67">
        <f>D59</f>
        <v>5.48</v>
      </c>
      <c r="E60" s="69" t="s">
        <v>34</v>
      </c>
    </row>
    <row r="61" spans="1:5" ht="13.5" thickBot="1" x14ac:dyDescent="0.25">
      <c r="A61" s="50"/>
      <c r="B61" s="17"/>
      <c r="C61" s="17"/>
      <c r="D61" s="17"/>
      <c r="E61" s="51"/>
    </row>
    <row r="62" spans="1:5" ht="13.5" thickBot="1" x14ac:dyDescent="0.25">
      <c r="A62" s="89" t="s">
        <v>135</v>
      </c>
      <c r="B62" s="166">
        <f>B26+B37+B46+B51+B56+B60</f>
        <v>0.73326041666666686</v>
      </c>
      <c r="C62" s="91" t="s">
        <v>53</v>
      </c>
      <c r="D62" s="92">
        <f>SUM(D26,D37,D46,D51,D56,D60)</f>
        <v>2195.5800000000004</v>
      </c>
      <c r="E62" s="93" t="s">
        <v>34</v>
      </c>
    </row>
    <row r="63" spans="1:5" ht="13.5" thickBot="1" x14ac:dyDescent="0.25">
      <c r="A63" s="50"/>
      <c r="B63" s="17"/>
      <c r="C63" s="17"/>
      <c r="D63" s="94"/>
      <c r="E63" s="51"/>
    </row>
    <row r="64" spans="1:5" x14ac:dyDescent="0.2">
      <c r="A64" s="52" t="s">
        <v>136</v>
      </c>
      <c r="B64" s="45" t="s">
        <v>36</v>
      </c>
      <c r="C64" s="45" t="s">
        <v>35</v>
      </c>
      <c r="D64" s="45" t="s">
        <v>36</v>
      </c>
      <c r="E64" s="46" t="s">
        <v>37</v>
      </c>
    </row>
    <row r="65" spans="1:5" x14ac:dyDescent="0.2">
      <c r="A65" s="154" t="s">
        <v>137</v>
      </c>
      <c r="B65" s="141">
        <f>ROUNDUP('Quadro resumo'!C27/12,2)</f>
        <v>0</v>
      </c>
      <c r="C65" s="96" t="s">
        <v>138</v>
      </c>
      <c r="D65" s="55">
        <f>TRUNC(B65,2)</f>
        <v>0</v>
      </c>
      <c r="E65" s="77" t="s">
        <v>139</v>
      </c>
    </row>
    <row r="66" spans="1:5" x14ac:dyDescent="0.2">
      <c r="A66" s="154" t="s">
        <v>140</v>
      </c>
      <c r="B66" s="142">
        <f>ROUNDUP(('Quadro resumo'!E22/12)/14,2)</f>
        <v>0</v>
      </c>
      <c r="C66" s="96" t="s">
        <v>225</v>
      </c>
      <c r="D66" s="55">
        <f t="shared" ref="D66:D71" si="2">B66</f>
        <v>0</v>
      </c>
      <c r="E66" s="77" t="s">
        <v>139</v>
      </c>
    </row>
    <row r="67" spans="1:5" ht="25.5" x14ac:dyDescent="0.2">
      <c r="A67" s="154" t="s">
        <v>141</v>
      </c>
      <c r="B67" s="97">
        <f>TRUNC(19*15,2)</f>
        <v>285</v>
      </c>
      <c r="C67" s="96" t="s">
        <v>230</v>
      </c>
      <c r="D67" s="55">
        <f>B67</f>
        <v>285</v>
      </c>
      <c r="E67" s="64" t="s">
        <v>229</v>
      </c>
    </row>
    <row r="68" spans="1:5" ht="25.5" customHeight="1" x14ac:dyDescent="0.2">
      <c r="A68" s="154" t="s">
        <v>142</v>
      </c>
      <c r="B68" s="97">
        <f>TRUNC(4.5*15*4,2)</f>
        <v>270</v>
      </c>
      <c r="C68" s="96" t="s">
        <v>231</v>
      </c>
      <c r="D68" s="55">
        <f t="shared" ref="D68" si="3">B68</f>
        <v>270</v>
      </c>
      <c r="E68" s="64" t="s">
        <v>232</v>
      </c>
    </row>
    <row r="69" spans="1:5" ht="38.25" x14ac:dyDescent="0.2">
      <c r="A69" s="169" t="s">
        <v>143</v>
      </c>
      <c r="B69" s="143">
        <f>'Quadro resumo'!C34*3</f>
        <v>0</v>
      </c>
      <c r="C69" s="23" t="str">
        <f>" Valor * 3"</f>
        <v xml:space="preserve"> Valor * 3</v>
      </c>
      <c r="D69" s="100">
        <f t="shared" si="2"/>
        <v>0</v>
      </c>
      <c r="E69" s="64" t="s">
        <v>220</v>
      </c>
    </row>
    <row r="70" spans="1:5" ht="25.5" x14ac:dyDescent="0.2">
      <c r="A70" s="170" t="s">
        <v>184</v>
      </c>
      <c r="B70" s="143">
        <f>ROUNDUP(('Quadro resumo'!C35*3)/12,2)</f>
        <v>0</v>
      </c>
      <c r="C70" s="54" t="str">
        <f>"Valor * 3 / 12"</f>
        <v>Valor * 3 / 12</v>
      </c>
      <c r="D70" s="150">
        <f t="shared" si="2"/>
        <v>0</v>
      </c>
      <c r="E70" s="64" t="s">
        <v>221</v>
      </c>
    </row>
    <row r="71" spans="1:5" x14ac:dyDescent="0.2">
      <c r="A71" s="155" t="s">
        <v>189</v>
      </c>
      <c r="B71" s="143">
        <v>14.48</v>
      </c>
      <c r="C71" s="54" t="s">
        <v>34</v>
      </c>
      <c r="D71" s="150">
        <f t="shared" si="2"/>
        <v>14.48</v>
      </c>
      <c r="E71" s="64" t="s">
        <v>190</v>
      </c>
    </row>
    <row r="72" spans="1:5" x14ac:dyDescent="0.2">
      <c r="A72" s="154" t="s">
        <v>20</v>
      </c>
      <c r="B72" s="141">
        <f>ROUNDUP('Quadro resumo'!$C$28/12,2)</f>
        <v>0</v>
      </c>
      <c r="C72" s="23" t="s">
        <v>34</v>
      </c>
      <c r="D72" s="100">
        <f>TRUNC(B72,2)</f>
        <v>0</v>
      </c>
      <c r="E72" s="64" t="s">
        <v>191</v>
      </c>
    </row>
    <row r="73" spans="1:5" ht="25.5" x14ac:dyDescent="0.2">
      <c r="A73" s="154" t="s">
        <v>144</v>
      </c>
      <c r="B73" s="144">
        <v>119.69</v>
      </c>
      <c r="C73" s="102" t="s">
        <v>34</v>
      </c>
      <c r="D73" s="100">
        <f>TRUNC(B73,2)</f>
        <v>119.69</v>
      </c>
      <c r="E73" s="64" t="s">
        <v>192</v>
      </c>
    </row>
    <row r="74" spans="1:5" ht="25.5" x14ac:dyDescent="0.2">
      <c r="A74" s="154" t="s">
        <v>145</v>
      </c>
      <c r="B74" s="144">
        <v>4</v>
      </c>
      <c r="C74" s="102" t="s">
        <v>34</v>
      </c>
      <c r="D74" s="150">
        <f>TRUNC(B74,2)</f>
        <v>4</v>
      </c>
      <c r="E74" s="64" t="s">
        <v>193</v>
      </c>
    </row>
    <row r="75" spans="1:5" x14ac:dyDescent="0.2">
      <c r="A75" s="156" t="s">
        <v>146</v>
      </c>
      <c r="B75" s="143">
        <f>IF(B68&gt;=TRUNC(0.06*D9,2),TRUNC(-0.06*D9,2),-B68)</f>
        <v>-101.95</v>
      </c>
      <c r="C75" s="23" t="s">
        <v>147</v>
      </c>
      <c r="D75" s="76">
        <f>B75</f>
        <v>-101.95</v>
      </c>
      <c r="E75" s="103" t="s">
        <v>148</v>
      </c>
    </row>
    <row r="76" spans="1:5" ht="25.5" customHeight="1" x14ac:dyDescent="0.2">
      <c r="A76" s="157" t="s">
        <v>188</v>
      </c>
      <c r="B76" s="145">
        <f>ROUNDUP('Quadro resumo'!C29/12,2)</f>
        <v>0</v>
      </c>
      <c r="C76" s="54" t="s">
        <v>149</v>
      </c>
      <c r="D76" s="60">
        <f>B76</f>
        <v>0</v>
      </c>
      <c r="E76" s="62" t="s">
        <v>150</v>
      </c>
    </row>
    <row r="77" spans="1:5" ht="38.25" customHeight="1" x14ac:dyDescent="0.2">
      <c r="A77" s="157" t="s">
        <v>179</v>
      </c>
      <c r="B77" s="145">
        <f>TRUNC('Quadro resumo'!C39,2)</f>
        <v>0</v>
      </c>
      <c r="C77" s="54" t="s">
        <v>149</v>
      </c>
      <c r="D77" s="60">
        <f>B77</f>
        <v>0</v>
      </c>
      <c r="E77" s="62" t="s">
        <v>180</v>
      </c>
    </row>
    <row r="78" spans="1:5" ht="13.5" thickBot="1" x14ac:dyDescent="0.25">
      <c r="A78" s="65" t="s">
        <v>151</v>
      </c>
      <c r="B78" s="80" t="s">
        <v>34</v>
      </c>
      <c r="C78" s="66" t="s">
        <v>53</v>
      </c>
      <c r="D78" s="67">
        <f>SUM(D65:D77)</f>
        <v>591.22</v>
      </c>
      <c r="E78" s="69" t="s">
        <v>34</v>
      </c>
    </row>
    <row r="79" spans="1:5" ht="13.5" thickBot="1" x14ac:dyDescent="0.25">
      <c r="A79" s="105"/>
      <c r="B79" s="106"/>
      <c r="C79" s="106"/>
      <c r="D79" s="106"/>
      <c r="E79" s="107"/>
    </row>
    <row r="80" spans="1:5" ht="12.75" customHeight="1" thickBot="1" x14ac:dyDescent="0.25">
      <c r="A80" s="108" t="s">
        <v>152</v>
      </c>
      <c r="B80" s="90" t="s">
        <v>34</v>
      </c>
      <c r="C80" s="90" t="s">
        <v>153</v>
      </c>
      <c r="D80" s="109">
        <f>SUM(D14,D62,D78)</f>
        <v>5781.22</v>
      </c>
      <c r="E80" s="93" t="s">
        <v>34</v>
      </c>
    </row>
    <row r="81" spans="1:5" ht="13.5" thickBot="1" x14ac:dyDescent="0.25">
      <c r="A81" s="110"/>
      <c r="B81" s="111"/>
      <c r="C81" s="111"/>
      <c r="D81" s="111"/>
      <c r="E81" s="112"/>
    </row>
    <row r="82" spans="1:5" x14ac:dyDescent="0.2">
      <c r="A82" s="52" t="s">
        <v>154</v>
      </c>
      <c r="B82" s="45" t="s">
        <v>202</v>
      </c>
      <c r="C82" s="45" t="s">
        <v>35</v>
      </c>
      <c r="D82" s="45" t="s">
        <v>36</v>
      </c>
      <c r="E82" s="46" t="s">
        <v>37</v>
      </c>
    </row>
    <row r="83" spans="1:5" ht="12.75" customHeight="1" x14ac:dyDescent="0.2">
      <c r="A83" s="53" t="s">
        <v>195</v>
      </c>
      <c r="B83" s="167">
        <f>'Quadro resumo'!C45</f>
        <v>0</v>
      </c>
      <c r="C83" s="189" t="s">
        <v>155</v>
      </c>
      <c r="D83" s="98">
        <f>TRUNC(B83*$D$80,2)</f>
        <v>0</v>
      </c>
      <c r="E83" s="113" t="s">
        <v>34</v>
      </c>
    </row>
    <row r="84" spans="1:5" x14ac:dyDescent="0.2">
      <c r="A84" s="53" t="s">
        <v>27</v>
      </c>
      <c r="B84" s="167">
        <f>'Quadro resumo'!C46</f>
        <v>0</v>
      </c>
      <c r="C84" s="203"/>
      <c r="D84" s="98">
        <f>TRUNC(B84*$D$80,2)</f>
        <v>0</v>
      </c>
      <c r="E84" s="113" t="s">
        <v>34</v>
      </c>
    </row>
    <row r="85" spans="1:5" ht="13.5" thickBot="1" x14ac:dyDescent="0.25">
      <c r="A85" s="65" t="s">
        <v>156</v>
      </c>
      <c r="B85" s="168">
        <f>SUM(B83:B84)</f>
        <v>0</v>
      </c>
      <c r="C85" s="66" t="s">
        <v>53</v>
      </c>
      <c r="D85" s="67">
        <f>SUM(D83:D84)</f>
        <v>0</v>
      </c>
      <c r="E85" s="69" t="s">
        <v>34</v>
      </c>
    </row>
    <row r="86" spans="1:5" ht="13.5" thickBot="1" x14ac:dyDescent="0.25">
      <c r="A86" s="114"/>
      <c r="B86" s="17"/>
      <c r="C86" s="17"/>
      <c r="D86" s="17"/>
      <c r="E86" s="51"/>
    </row>
    <row r="87" spans="1:5" x14ac:dyDescent="0.2">
      <c r="A87" s="115" t="s">
        <v>157</v>
      </c>
      <c r="B87" s="45" t="s">
        <v>202</v>
      </c>
      <c r="C87" s="45" t="s">
        <v>35</v>
      </c>
      <c r="D87" s="45" t="s">
        <v>36</v>
      </c>
      <c r="E87" s="46" t="s">
        <v>37</v>
      </c>
    </row>
    <row r="88" spans="1:5" x14ac:dyDescent="0.2">
      <c r="A88" s="53" t="s">
        <v>29</v>
      </c>
      <c r="B88" s="159">
        <f>'Quadro resumo'!C52</f>
        <v>0</v>
      </c>
      <c r="C88" s="189" t="s">
        <v>158</v>
      </c>
      <c r="D88" s="79">
        <f>TRUNC((($D$80+$D$85)/(1-(($B$88+$B$89+$B$90))))*(B88),2)</f>
        <v>0</v>
      </c>
      <c r="E88" s="113" t="s">
        <v>34</v>
      </c>
    </row>
    <row r="89" spans="1:5" x14ac:dyDescent="0.2">
      <c r="A89" s="53" t="s">
        <v>30</v>
      </c>
      <c r="B89" s="159">
        <f>'Quadro resumo'!C53</f>
        <v>0</v>
      </c>
      <c r="C89" s="190"/>
      <c r="D89" s="79">
        <f>TRUNC((($D$80+$D$85)/(1-(($B$88+$B$89+$B$90))))*(B89),2)</f>
        <v>0</v>
      </c>
      <c r="E89" s="113" t="s">
        <v>34</v>
      </c>
    </row>
    <row r="90" spans="1:5" x14ac:dyDescent="0.2">
      <c r="A90" s="53" t="s">
        <v>31</v>
      </c>
      <c r="B90" s="159">
        <f>'Quadro resumo'!C54</f>
        <v>0</v>
      </c>
      <c r="C90" s="191"/>
      <c r="D90" s="79">
        <f>TRUNC((($D$80+$D$85)/(1-(($B$88+$B$89+$B$90))))*(B90),2)</f>
        <v>0</v>
      </c>
      <c r="E90" s="113" t="s">
        <v>34</v>
      </c>
    </row>
    <row r="91" spans="1:5" ht="13.5" thickBot="1" x14ac:dyDescent="0.25">
      <c r="A91" s="65" t="s">
        <v>159</v>
      </c>
      <c r="B91" s="165">
        <f>SUM(B88:B90)</f>
        <v>0</v>
      </c>
      <c r="C91" s="66" t="s">
        <v>53</v>
      </c>
      <c r="D91" s="67">
        <f>SUM(D88:D90)</f>
        <v>0</v>
      </c>
      <c r="E91" s="69" t="s">
        <v>34</v>
      </c>
    </row>
    <row r="92" spans="1:5" ht="13.5" thickBot="1" x14ac:dyDescent="0.25">
      <c r="A92" s="50"/>
      <c r="B92" s="17"/>
      <c r="C92" s="17"/>
      <c r="D92" s="17"/>
      <c r="E92" s="51"/>
    </row>
    <row r="93" spans="1:5" ht="13.5" thickBot="1" x14ac:dyDescent="0.25">
      <c r="A93" s="116" t="s">
        <v>160</v>
      </c>
      <c r="B93" s="117"/>
      <c r="C93" s="45" t="s">
        <v>35</v>
      </c>
      <c r="D93" s="117" t="s">
        <v>161</v>
      </c>
      <c r="E93" s="46" t="s">
        <v>162</v>
      </c>
    </row>
    <row r="94" spans="1:5" ht="13.5" thickBot="1" x14ac:dyDescent="0.25">
      <c r="A94" s="118"/>
      <c r="B94" s="119"/>
      <c r="C94" s="119" t="s">
        <v>163</v>
      </c>
      <c r="D94" s="120">
        <f>SUM(D80,D85,D91)</f>
        <v>5781.22</v>
      </c>
      <c r="E94" s="121">
        <f>D94*12</f>
        <v>69374.64</v>
      </c>
    </row>
  </sheetData>
  <sheetProtection algorithmName="SHA-512" hashValue="c8lWz046bsyX9oNX8IKn66DowIAPXjWH000f3YUzSxyJhkisiLB2FwHmO18wUk55arEIGC4kaznAoFN4paO0JQ==" saltValue="EMEUrdglFfjYRNH4clJeMg==" spinCount="100000" sheet="1" objects="1" scenarios="1"/>
  <mergeCells count="6">
    <mergeCell ref="C88:C90"/>
    <mergeCell ref="A1:E1"/>
    <mergeCell ref="A3:E3"/>
    <mergeCell ref="A48:B48"/>
    <mergeCell ref="A57:E57"/>
    <mergeCell ref="C83:C8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7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95" sqref="A95"/>
    </sheetView>
  </sheetViews>
  <sheetFormatPr defaultRowHeight="12.75" x14ac:dyDescent="0.2"/>
  <cols>
    <col min="1" max="1" width="75.5703125" style="35" bestFit="1" customWidth="1"/>
    <col min="2" max="2" width="16.85546875" style="35" bestFit="1" customWidth="1"/>
    <col min="3" max="3" width="39.85546875" style="35" customWidth="1"/>
    <col min="4" max="4" width="13.140625" style="35" bestFit="1" customWidth="1"/>
    <col min="5" max="5" width="44.5703125" style="35" bestFit="1" customWidth="1"/>
    <col min="6" max="256" width="9.140625" style="35"/>
    <col min="257" max="257" width="75.5703125" style="35" bestFit="1" customWidth="1"/>
    <col min="258" max="258" width="16.85546875" style="35" bestFit="1" customWidth="1"/>
    <col min="259" max="259" width="39.85546875" style="35" customWidth="1"/>
    <col min="260" max="260" width="13.140625" style="35" bestFit="1" customWidth="1"/>
    <col min="261" max="261" width="44.5703125" style="35" bestFit="1" customWidth="1"/>
    <col min="262" max="512" width="9.140625" style="35"/>
    <col min="513" max="513" width="75.5703125" style="35" bestFit="1" customWidth="1"/>
    <col min="514" max="514" width="16.85546875" style="35" bestFit="1" customWidth="1"/>
    <col min="515" max="515" width="39.85546875" style="35" customWidth="1"/>
    <col min="516" max="516" width="13.140625" style="35" bestFit="1" customWidth="1"/>
    <col min="517" max="517" width="44.5703125" style="35" bestFit="1" customWidth="1"/>
    <col min="518" max="768" width="9.140625" style="35"/>
    <col min="769" max="769" width="75.5703125" style="35" bestFit="1" customWidth="1"/>
    <col min="770" max="770" width="16.85546875" style="35" bestFit="1" customWidth="1"/>
    <col min="771" max="771" width="39.85546875" style="35" customWidth="1"/>
    <col min="772" max="772" width="13.140625" style="35" bestFit="1" customWidth="1"/>
    <col min="773" max="773" width="44.5703125" style="35" bestFit="1" customWidth="1"/>
    <col min="774" max="1024" width="9.140625" style="35"/>
    <col min="1025" max="1025" width="75.5703125" style="35" bestFit="1" customWidth="1"/>
    <col min="1026" max="1026" width="16.85546875" style="35" bestFit="1" customWidth="1"/>
    <col min="1027" max="1027" width="39.85546875" style="35" customWidth="1"/>
    <col min="1028" max="1028" width="13.140625" style="35" bestFit="1" customWidth="1"/>
    <col min="1029" max="1029" width="44.5703125" style="35" bestFit="1" customWidth="1"/>
    <col min="1030" max="1280" width="9.140625" style="35"/>
    <col min="1281" max="1281" width="75.5703125" style="35" bestFit="1" customWidth="1"/>
    <col min="1282" max="1282" width="16.85546875" style="35" bestFit="1" customWidth="1"/>
    <col min="1283" max="1283" width="39.85546875" style="35" customWidth="1"/>
    <col min="1284" max="1284" width="13.140625" style="35" bestFit="1" customWidth="1"/>
    <col min="1285" max="1285" width="44.5703125" style="35" bestFit="1" customWidth="1"/>
    <col min="1286" max="1536" width="9.140625" style="35"/>
    <col min="1537" max="1537" width="75.5703125" style="35" bestFit="1" customWidth="1"/>
    <col min="1538" max="1538" width="16.85546875" style="35" bestFit="1" customWidth="1"/>
    <col min="1539" max="1539" width="39.85546875" style="35" customWidth="1"/>
    <col min="1540" max="1540" width="13.140625" style="35" bestFit="1" customWidth="1"/>
    <col min="1541" max="1541" width="44.5703125" style="35" bestFit="1" customWidth="1"/>
    <col min="1542" max="1792" width="9.140625" style="35"/>
    <col min="1793" max="1793" width="75.5703125" style="35" bestFit="1" customWidth="1"/>
    <col min="1794" max="1794" width="16.85546875" style="35" bestFit="1" customWidth="1"/>
    <col min="1795" max="1795" width="39.85546875" style="35" customWidth="1"/>
    <col min="1796" max="1796" width="13.140625" style="35" bestFit="1" customWidth="1"/>
    <col min="1797" max="1797" width="44.5703125" style="35" bestFit="1" customWidth="1"/>
    <col min="1798" max="2048" width="9.140625" style="35"/>
    <col min="2049" max="2049" width="75.5703125" style="35" bestFit="1" customWidth="1"/>
    <col min="2050" max="2050" width="16.85546875" style="35" bestFit="1" customWidth="1"/>
    <col min="2051" max="2051" width="39.85546875" style="35" customWidth="1"/>
    <col min="2052" max="2052" width="13.140625" style="35" bestFit="1" customWidth="1"/>
    <col min="2053" max="2053" width="44.5703125" style="35" bestFit="1" customWidth="1"/>
    <col min="2054" max="2304" width="9.140625" style="35"/>
    <col min="2305" max="2305" width="75.5703125" style="35" bestFit="1" customWidth="1"/>
    <col min="2306" max="2306" width="16.85546875" style="35" bestFit="1" customWidth="1"/>
    <col min="2307" max="2307" width="39.85546875" style="35" customWidth="1"/>
    <col min="2308" max="2308" width="13.140625" style="35" bestFit="1" customWidth="1"/>
    <col min="2309" max="2309" width="44.5703125" style="35" bestFit="1" customWidth="1"/>
    <col min="2310" max="2560" width="9.140625" style="35"/>
    <col min="2561" max="2561" width="75.5703125" style="35" bestFit="1" customWidth="1"/>
    <col min="2562" max="2562" width="16.85546875" style="35" bestFit="1" customWidth="1"/>
    <col min="2563" max="2563" width="39.85546875" style="35" customWidth="1"/>
    <col min="2564" max="2564" width="13.140625" style="35" bestFit="1" customWidth="1"/>
    <col min="2565" max="2565" width="44.5703125" style="35" bestFit="1" customWidth="1"/>
    <col min="2566" max="2816" width="9.140625" style="35"/>
    <col min="2817" max="2817" width="75.5703125" style="35" bestFit="1" customWidth="1"/>
    <col min="2818" max="2818" width="16.85546875" style="35" bestFit="1" customWidth="1"/>
    <col min="2819" max="2819" width="39.85546875" style="35" customWidth="1"/>
    <col min="2820" max="2820" width="13.140625" style="35" bestFit="1" customWidth="1"/>
    <col min="2821" max="2821" width="44.5703125" style="35" bestFit="1" customWidth="1"/>
    <col min="2822" max="3072" width="9.140625" style="35"/>
    <col min="3073" max="3073" width="75.5703125" style="35" bestFit="1" customWidth="1"/>
    <col min="3074" max="3074" width="16.85546875" style="35" bestFit="1" customWidth="1"/>
    <col min="3075" max="3075" width="39.85546875" style="35" customWidth="1"/>
    <col min="3076" max="3076" width="13.140625" style="35" bestFit="1" customWidth="1"/>
    <col min="3077" max="3077" width="44.5703125" style="35" bestFit="1" customWidth="1"/>
    <col min="3078" max="3328" width="9.140625" style="35"/>
    <col min="3329" max="3329" width="75.5703125" style="35" bestFit="1" customWidth="1"/>
    <col min="3330" max="3330" width="16.85546875" style="35" bestFit="1" customWidth="1"/>
    <col min="3331" max="3331" width="39.85546875" style="35" customWidth="1"/>
    <col min="3332" max="3332" width="13.140625" style="35" bestFit="1" customWidth="1"/>
    <col min="3333" max="3333" width="44.5703125" style="35" bestFit="1" customWidth="1"/>
    <col min="3334" max="3584" width="9.140625" style="35"/>
    <col min="3585" max="3585" width="75.5703125" style="35" bestFit="1" customWidth="1"/>
    <col min="3586" max="3586" width="16.85546875" style="35" bestFit="1" customWidth="1"/>
    <col min="3587" max="3587" width="39.85546875" style="35" customWidth="1"/>
    <col min="3588" max="3588" width="13.140625" style="35" bestFit="1" customWidth="1"/>
    <col min="3589" max="3589" width="44.5703125" style="35" bestFit="1" customWidth="1"/>
    <col min="3590" max="3840" width="9.140625" style="35"/>
    <col min="3841" max="3841" width="75.5703125" style="35" bestFit="1" customWidth="1"/>
    <col min="3842" max="3842" width="16.85546875" style="35" bestFit="1" customWidth="1"/>
    <col min="3843" max="3843" width="39.85546875" style="35" customWidth="1"/>
    <col min="3844" max="3844" width="13.140625" style="35" bestFit="1" customWidth="1"/>
    <col min="3845" max="3845" width="44.5703125" style="35" bestFit="1" customWidth="1"/>
    <col min="3846" max="4096" width="9.140625" style="35"/>
    <col min="4097" max="4097" width="75.5703125" style="35" bestFit="1" customWidth="1"/>
    <col min="4098" max="4098" width="16.85546875" style="35" bestFit="1" customWidth="1"/>
    <col min="4099" max="4099" width="39.85546875" style="35" customWidth="1"/>
    <col min="4100" max="4100" width="13.140625" style="35" bestFit="1" customWidth="1"/>
    <col min="4101" max="4101" width="44.5703125" style="35" bestFit="1" customWidth="1"/>
    <col min="4102" max="4352" width="9.140625" style="35"/>
    <col min="4353" max="4353" width="75.5703125" style="35" bestFit="1" customWidth="1"/>
    <col min="4354" max="4354" width="16.85546875" style="35" bestFit="1" customWidth="1"/>
    <col min="4355" max="4355" width="39.85546875" style="35" customWidth="1"/>
    <col min="4356" max="4356" width="13.140625" style="35" bestFit="1" customWidth="1"/>
    <col min="4357" max="4357" width="44.5703125" style="35" bestFit="1" customWidth="1"/>
    <col min="4358" max="4608" width="9.140625" style="35"/>
    <col min="4609" max="4609" width="75.5703125" style="35" bestFit="1" customWidth="1"/>
    <col min="4610" max="4610" width="16.85546875" style="35" bestFit="1" customWidth="1"/>
    <col min="4611" max="4611" width="39.85546875" style="35" customWidth="1"/>
    <col min="4612" max="4612" width="13.140625" style="35" bestFit="1" customWidth="1"/>
    <col min="4613" max="4613" width="44.5703125" style="35" bestFit="1" customWidth="1"/>
    <col min="4614" max="4864" width="9.140625" style="35"/>
    <col min="4865" max="4865" width="75.5703125" style="35" bestFit="1" customWidth="1"/>
    <col min="4866" max="4866" width="16.85546875" style="35" bestFit="1" customWidth="1"/>
    <col min="4867" max="4867" width="39.85546875" style="35" customWidth="1"/>
    <col min="4868" max="4868" width="13.140625" style="35" bestFit="1" customWidth="1"/>
    <col min="4869" max="4869" width="44.5703125" style="35" bestFit="1" customWidth="1"/>
    <col min="4870" max="5120" width="9.140625" style="35"/>
    <col min="5121" max="5121" width="75.5703125" style="35" bestFit="1" customWidth="1"/>
    <col min="5122" max="5122" width="16.85546875" style="35" bestFit="1" customWidth="1"/>
    <col min="5123" max="5123" width="39.85546875" style="35" customWidth="1"/>
    <col min="5124" max="5124" width="13.140625" style="35" bestFit="1" customWidth="1"/>
    <col min="5125" max="5125" width="44.5703125" style="35" bestFit="1" customWidth="1"/>
    <col min="5126" max="5376" width="9.140625" style="35"/>
    <col min="5377" max="5377" width="75.5703125" style="35" bestFit="1" customWidth="1"/>
    <col min="5378" max="5378" width="16.85546875" style="35" bestFit="1" customWidth="1"/>
    <col min="5379" max="5379" width="39.85546875" style="35" customWidth="1"/>
    <col min="5380" max="5380" width="13.140625" style="35" bestFit="1" customWidth="1"/>
    <col min="5381" max="5381" width="44.5703125" style="35" bestFit="1" customWidth="1"/>
    <col min="5382" max="5632" width="9.140625" style="35"/>
    <col min="5633" max="5633" width="75.5703125" style="35" bestFit="1" customWidth="1"/>
    <col min="5634" max="5634" width="16.85546875" style="35" bestFit="1" customWidth="1"/>
    <col min="5635" max="5635" width="39.85546875" style="35" customWidth="1"/>
    <col min="5636" max="5636" width="13.140625" style="35" bestFit="1" customWidth="1"/>
    <col min="5637" max="5637" width="44.5703125" style="35" bestFit="1" customWidth="1"/>
    <col min="5638" max="5888" width="9.140625" style="35"/>
    <col min="5889" max="5889" width="75.5703125" style="35" bestFit="1" customWidth="1"/>
    <col min="5890" max="5890" width="16.85546875" style="35" bestFit="1" customWidth="1"/>
    <col min="5891" max="5891" width="39.85546875" style="35" customWidth="1"/>
    <col min="5892" max="5892" width="13.140625" style="35" bestFit="1" customWidth="1"/>
    <col min="5893" max="5893" width="44.5703125" style="35" bestFit="1" customWidth="1"/>
    <col min="5894" max="6144" width="9.140625" style="35"/>
    <col min="6145" max="6145" width="75.5703125" style="35" bestFit="1" customWidth="1"/>
    <col min="6146" max="6146" width="16.85546875" style="35" bestFit="1" customWidth="1"/>
    <col min="6147" max="6147" width="39.85546875" style="35" customWidth="1"/>
    <col min="6148" max="6148" width="13.140625" style="35" bestFit="1" customWidth="1"/>
    <col min="6149" max="6149" width="44.5703125" style="35" bestFit="1" customWidth="1"/>
    <col min="6150" max="6400" width="9.140625" style="35"/>
    <col min="6401" max="6401" width="75.5703125" style="35" bestFit="1" customWidth="1"/>
    <col min="6402" max="6402" width="16.85546875" style="35" bestFit="1" customWidth="1"/>
    <col min="6403" max="6403" width="39.85546875" style="35" customWidth="1"/>
    <col min="6404" max="6404" width="13.140625" style="35" bestFit="1" customWidth="1"/>
    <col min="6405" max="6405" width="44.5703125" style="35" bestFit="1" customWidth="1"/>
    <col min="6406" max="6656" width="9.140625" style="35"/>
    <col min="6657" max="6657" width="75.5703125" style="35" bestFit="1" customWidth="1"/>
    <col min="6658" max="6658" width="16.85546875" style="35" bestFit="1" customWidth="1"/>
    <col min="6659" max="6659" width="39.85546875" style="35" customWidth="1"/>
    <col min="6660" max="6660" width="13.140625" style="35" bestFit="1" customWidth="1"/>
    <col min="6661" max="6661" width="44.5703125" style="35" bestFit="1" customWidth="1"/>
    <col min="6662" max="6912" width="9.140625" style="35"/>
    <col min="6913" max="6913" width="75.5703125" style="35" bestFit="1" customWidth="1"/>
    <col min="6914" max="6914" width="16.85546875" style="35" bestFit="1" customWidth="1"/>
    <col min="6915" max="6915" width="39.85546875" style="35" customWidth="1"/>
    <col min="6916" max="6916" width="13.140625" style="35" bestFit="1" customWidth="1"/>
    <col min="6917" max="6917" width="44.5703125" style="35" bestFit="1" customWidth="1"/>
    <col min="6918" max="7168" width="9.140625" style="35"/>
    <col min="7169" max="7169" width="75.5703125" style="35" bestFit="1" customWidth="1"/>
    <col min="7170" max="7170" width="16.85546875" style="35" bestFit="1" customWidth="1"/>
    <col min="7171" max="7171" width="39.85546875" style="35" customWidth="1"/>
    <col min="7172" max="7172" width="13.140625" style="35" bestFit="1" customWidth="1"/>
    <col min="7173" max="7173" width="44.5703125" style="35" bestFit="1" customWidth="1"/>
    <col min="7174" max="7424" width="9.140625" style="35"/>
    <col min="7425" max="7425" width="75.5703125" style="35" bestFit="1" customWidth="1"/>
    <col min="7426" max="7426" width="16.85546875" style="35" bestFit="1" customWidth="1"/>
    <col min="7427" max="7427" width="39.85546875" style="35" customWidth="1"/>
    <col min="7428" max="7428" width="13.140625" style="35" bestFit="1" customWidth="1"/>
    <col min="7429" max="7429" width="44.5703125" style="35" bestFit="1" customWidth="1"/>
    <col min="7430" max="7680" width="9.140625" style="35"/>
    <col min="7681" max="7681" width="75.5703125" style="35" bestFit="1" customWidth="1"/>
    <col min="7682" max="7682" width="16.85546875" style="35" bestFit="1" customWidth="1"/>
    <col min="7683" max="7683" width="39.85546875" style="35" customWidth="1"/>
    <col min="7684" max="7684" width="13.140625" style="35" bestFit="1" customWidth="1"/>
    <col min="7685" max="7685" width="44.5703125" style="35" bestFit="1" customWidth="1"/>
    <col min="7686" max="7936" width="9.140625" style="35"/>
    <col min="7937" max="7937" width="75.5703125" style="35" bestFit="1" customWidth="1"/>
    <col min="7938" max="7938" width="16.85546875" style="35" bestFit="1" customWidth="1"/>
    <col min="7939" max="7939" width="39.85546875" style="35" customWidth="1"/>
    <col min="7940" max="7940" width="13.140625" style="35" bestFit="1" customWidth="1"/>
    <col min="7941" max="7941" width="44.5703125" style="35" bestFit="1" customWidth="1"/>
    <col min="7942" max="8192" width="9.140625" style="35"/>
    <col min="8193" max="8193" width="75.5703125" style="35" bestFit="1" customWidth="1"/>
    <col min="8194" max="8194" width="16.85546875" style="35" bestFit="1" customWidth="1"/>
    <col min="8195" max="8195" width="39.85546875" style="35" customWidth="1"/>
    <col min="8196" max="8196" width="13.140625" style="35" bestFit="1" customWidth="1"/>
    <col min="8197" max="8197" width="44.5703125" style="35" bestFit="1" customWidth="1"/>
    <col min="8198" max="8448" width="9.140625" style="35"/>
    <col min="8449" max="8449" width="75.5703125" style="35" bestFit="1" customWidth="1"/>
    <col min="8450" max="8450" width="16.85546875" style="35" bestFit="1" customWidth="1"/>
    <col min="8451" max="8451" width="39.85546875" style="35" customWidth="1"/>
    <col min="8452" max="8452" width="13.140625" style="35" bestFit="1" customWidth="1"/>
    <col min="8453" max="8453" width="44.5703125" style="35" bestFit="1" customWidth="1"/>
    <col min="8454" max="8704" width="9.140625" style="35"/>
    <col min="8705" max="8705" width="75.5703125" style="35" bestFit="1" customWidth="1"/>
    <col min="8706" max="8706" width="16.85546875" style="35" bestFit="1" customWidth="1"/>
    <col min="8707" max="8707" width="39.85546875" style="35" customWidth="1"/>
    <col min="8708" max="8708" width="13.140625" style="35" bestFit="1" customWidth="1"/>
    <col min="8709" max="8709" width="44.5703125" style="35" bestFit="1" customWidth="1"/>
    <col min="8710" max="8960" width="9.140625" style="35"/>
    <col min="8961" max="8961" width="75.5703125" style="35" bestFit="1" customWidth="1"/>
    <col min="8962" max="8962" width="16.85546875" style="35" bestFit="1" customWidth="1"/>
    <col min="8963" max="8963" width="39.85546875" style="35" customWidth="1"/>
    <col min="8964" max="8964" width="13.140625" style="35" bestFit="1" customWidth="1"/>
    <col min="8965" max="8965" width="44.5703125" style="35" bestFit="1" customWidth="1"/>
    <col min="8966" max="9216" width="9.140625" style="35"/>
    <col min="9217" max="9217" width="75.5703125" style="35" bestFit="1" customWidth="1"/>
    <col min="9218" max="9218" width="16.85546875" style="35" bestFit="1" customWidth="1"/>
    <col min="9219" max="9219" width="39.85546875" style="35" customWidth="1"/>
    <col min="9220" max="9220" width="13.140625" style="35" bestFit="1" customWidth="1"/>
    <col min="9221" max="9221" width="44.5703125" style="35" bestFit="1" customWidth="1"/>
    <col min="9222" max="9472" width="9.140625" style="35"/>
    <col min="9473" max="9473" width="75.5703125" style="35" bestFit="1" customWidth="1"/>
    <col min="9474" max="9474" width="16.85546875" style="35" bestFit="1" customWidth="1"/>
    <col min="9475" max="9475" width="39.85546875" style="35" customWidth="1"/>
    <col min="9476" max="9476" width="13.140625" style="35" bestFit="1" customWidth="1"/>
    <col min="9477" max="9477" width="44.5703125" style="35" bestFit="1" customWidth="1"/>
    <col min="9478" max="9728" width="9.140625" style="35"/>
    <col min="9729" max="9729" width="75.5703125" style="35" bestFit="1" customWidth="1"/>
    <col min="9730" max="9730" width="16.85546875" style="35" bestFit="1" customWidth="1"/>
    <col min="9731" max="9731" width="39.85546875" style="35" customWidth="1"/>
    <col min="9732" max="9732" width="13.140625" style="35" bestFit="1" customWidth="1"/>
    <col min="9733" max="9733" width="44.5703125" style="35" bestFit="1" customWidth="1"/>
    <col min="9734" max="9984" width="9.140625" style="35"/>
    <col min="9985" max="9985" width="75.5703125" style="35" bestFit="1" customWidth="1"/>
    <col min="9986" max="9986" width="16.85546875" style="35" bestFit="1" customWidth="1"/>
    <col min="9987" max="9987" width="39.85546875" style="35" customWidth="1"/>
    <col min="9988" max="9988" width="13.140625" style="35" bestFit="1" customWidth="1"/>
    <col min="9989" max="9989" width="44.5703125" style="35" bestFit="1" customWidth="1"/>
    <col min="9990" max="10240" width="9.140625" style="35"/>
    <col min="10241" max="10241" width="75.5703125" style="35" bestFit="1" customWidth="1"/>
    <col min="10242" max="10242" width="16.85546875" style="35" bestFit="1" customWidth="1"/>
    <col min="10243" max="10243" width="39.85546875" style="35" customWidth="1"/>
    <col min="10244" max="10244" width="13.140625" style="35" bestFit="1" customWidth="1"/>
    <col min="10245" max="10245" width="44.5703125" style="35" bestFit="1" customWidth="1"/>
    <col min="10246" max="10496" width="9.140625" style="35"/>
    <col min="10497" max="10497" width="75.5703125" style="35" bestFit="1" customWidth="1"/>
    <col min="10498" max="10498" width="16.85546875" style="35" bestFit="1" customWidth="1"/>
    <col min="10499" max="10499" width="39.85546875" style="35" customWidth="1"/>
    <col min="10500" max="10500" width="13.140625" style="35" bestFit="1" customWidth="1"/>
    <col min="10501" max="10501" width="44.5703125" style="35" bestFit="1" customWidth="1"/>
    <col min="10502" max="10752" width="9.140625" style="35"/>
    <col min="10753" max="10753" width="75.5703125" style="35" bestFit="1" customWidth="1"/>
    <col min="10754" max="10754" width="16.85546875" style="35" bestFit="1" customWidth="1"/>
    <col min="10755" max="10755" width="39.85546875" style="35" customWidth="1"/>
    <col min="10756" max="10756" width="13.140625" style="35" bestFit="1" customWidth="1"/>
    <col min="10757" max="10757" width="44.5703125" style="35" bestFit="1" customWidth="1"/>
    <col min="10758" max="11008" width="9.140625" style="35"/>
    <col min="11009" max="11009" width="75.5703125" style="35" bestFit="1" customWidth="1"/>
    <col min="11010" max="11010" width="16.85546875" style="35" bestFit="1" customWidth="1"/>
    <col min="11011" max="11011" width="39.85546875" style="35" customWidth="1"/>
    <col min="11012" max="11012" width="13.140625" style="35" bestFit="1" customWidth="1"/>
    <col min="11013" max="11013" width="44.5703125" style="35" bestFit="1" customWidth="1"/>
    <col min="11014" max="11264" width="9.140625" style="35"/>
    <col min="11265" max="11265" width="75.5703125" style="35" bestFit="1" customWidth="1"/>
    <col min="11266" max="11266" width="16.85546875" style="35" bestFit="1" customWidth="1"/>
    <col min="11267" max="11267" width="39.85546875" style="35" customWidth="1"/>
    <col min="11268" max="11268" width="13.140625" style="35" bestFit="1" customWidth="1"/>
    <col min="11269" max="11269" width="44.5703125" style="35" bestFit="1" customWidth="1"/>
    <col min="11270" max="11520" width="9.140625" style="35"/>
    <col min="11521" max="11521" width="75.5703125" style="35" bestFit="1" customWidth="1"/>
    <col min="11522" max="11522" width="16.85546875" style="35" bestFit="1" customWidth="1"/>
    <col min="11523" max="11523" width="39.85546875" style="35" customWidth="1"/>
    <col min="11524" max="11524" width="13.140625" style="35" bestFit="1" customWidth="1"/>
    <col min="11525" max="11525" width="44.5703125" style="35" bestFit="1" customWidth="1"/>
    <col min="11526" max="11776" width="9.140625" style="35"/>
    <col min="11777" max="11777" width="75.5703125" style="35" bestFit="1" customWidth="1"/>
    <col min="11778" max="11778" width="16.85546875" style="35" bestFit="1" customWidth="1"/>
    <col min="11779" max="11779" width="39.85546875" style="35" customWidth="1"/>
    <col min="11780" max="11780" width="13.140625" style="35" bestFit="1" customWidth="1"/>
    <col min="11781" max="11781" width="44.5703125" style="35" bestFit="1" customWidth="1"/>
    <col min="11782" max="12032" width="9.140625" style="35"/>
    <col min="12033" max="12033" width="75.5703125" style="35" bestFit="1" customWidth="1"/>
    <col min="12034" max="12034" width="16.85546875" style="35" bestFit="1" customWidth="1"/>
    <col min="12035" max="12035" width="39.85546875" style="35" customWidth="1"/>
    <col min="12036" max="12036" width="13.140625" style="35" bestFit="1" customWidth="1"/>
    <col min="12037" max="12037" width="44.5703125" style="35" bestFit="1" customWidth="1"/>
    <col min="12038" max="12288" width="9.140625" style="35"/>
    <col min="12289" max="12289" width="75.5703125" style="35" bestFit="1" customWidth="1"/>
    <col min="12290" max="12290" width="16.85546875" style="35" bestFit="1" customWidth="1"/>
    <col min="12291" max="12291" width="39.85546875" style="35" customWidth="1"/>
    <col min="12292" max="12292" width="13.140625" style="35" bestFit="1" customWidth="1"/>
    <col min="12293" max="12293" width="44.5703125" style="35" bestFit="1" customWidth="1"/>
    <col min="12294" max="12544" width="9.140625" style="35"/>
    <col min="12545" max="12545" width="75.5703125" style="35" bestFit="1" customWidth="1"/>
    <col min="12546" max="12546" width="16.85546875" style="35" bestFit="1" customWidth="1"/>
    <col min="12547" max="12547" width="39.85546875" style="35" customWidth="1"/>
    <col min="12548" max="12548" width="13.140625" style="35" bestFit="1" customWidth="1"/>
    <col min="12549" max="12549" width="44.5703125" style="35" bestFit="1" customWidth="1"/>
    <col min="12550" max="12800" width="9.140625" style="35"/>
    <col min="12801" max="12801" width="75.5703125" style="35" bestFit="1" customWidth="1"/>
    <col min="12802" max="12802" width="16.85546875" style="35" bestFit="1" customWidth="1"/>
    <col min="12803" max="12803" width="39.85546875" style="35" customWidth="1"/>
    <col min="12804" max="12804" width="13.140625" style="35" bestFit="1" customWidth="1"/>
    <col min="12805" max="12805" width="44.5703125" style="35" bestFit="1" customWidth="1"/>
    <col min="12806" max="13056" width="9.140625" style="35"/>
    <col min="13057" max="13057" width="75.5703125" style="35" bestFit="1" customWidth="1"/>
    <col min="13058" max="13058" width="16.85546875" style="35" bestFit="1" customWidth="1"/>
    <col min="13059" max="13059" width="39.85546875" style="35" customWidth="1"/>
    <col min="13060" max="13060" width="13.140625" style="35" bestFit="1" customWidth="1"/>
    <col min="13061" max="13061" width="44.5703125" style="35" bestFit="1" customWidth="1"/>
    <col min="13062" max="13312" width="9.140625" style="35"/>
    <col min="13313" max="13313" width="75.5703125" style="35" bestFit="1" customWidth="1"/>
    <col min="13314" max="13314" width="16.85546875" style="35" bestFit="1" customWidth="1"/>
    <col min="13315" max="13315" width="39.85546875" style="35" customWidth="1"/>
    <col min="13316" max="13316" width="13.140625" style="35" bestFit="1" customWidth="1"/>
    <col min="13317" max="13317" width="44.5703125" style="35" bestFit="1" customWidth="1"/>
    <col min="13318" max="13568" width="9.140625" style="35"/>
    <col min="13569" max="13569" width="75.5703125" style="35" bestFit="1" customWidth="1"/>
    <col min="13570" max="13570" width="16.85546875" style="35" bestFit="1" customWidth="1"/>
    <col min="13571" max="13571" width="39.85546875" style="35" customWidth="1"/>
    <col min="13572" max="13572" width="13.140625" style="35" bestFit="1" customWidth="1"/>
    <col min="13573" max="13573" width="44.5703125" style="35" bestFit="1" customWidth="1"/>
    <col min="13574" max="13824" width="9.140625" style="35"/>
    <col min="13825" max="13825" width="75.5703125" style="35" bestFit="1" customWidth="1"/>
    <col min="13826" max="13826" width="16.85546875" style="35" bestFit="1" customWidth="1"/>
    <col min="13827" max="13827" width="39.85546875" style="35" customWidth="1"/>
    <col min="13828" max="13828" width="13.140625" style="35" bestFit="1" customWidth="1"/>
    <col min="13829" max="13829" width="44.5703125" style="35" bestFit="1" customWidth="1"/>
    <col min="13830" max="14080" width="9.140625" style="35"/>
    <col min="14081" max="14081" width="75.5703125" style="35" bestFit="1" customWidth="1"/>
    <col min="14082" max="14082" width="16.85546875" style="35" bestFit="1" customWidth="1"/>
    <col min="14083" max="14083" width="39.85546875" style="35" customWidth="1"/>
    <col min="14084" max="14084" width="13.140625" style="35" bestFit="1" customWidth="1"/>
    <col min="14085" max="14085" width="44.5703125" style="35" bestFit="1" customWidth="1"/>
    <col min="14086" max="14336" width="9.140625" style="35"/>
    <col min="14337" max="14337" width="75.5703125" style="35" bestFit="1" customWidth="1"/>
    <col min="14338" max="14338" width="16.85546875" style="35" bestFit="1" customWidth="1"/>
    <col min="14339" max="14339" width="39.85546875" style="35" customWidth="1"/>
    <col min="14340" max="14340" width="13.140625" style="35" bestFit="1" customWidth="1"/>
    <col min="14341" max="14341" width="44.5703125" style="35" bestFit="1" customWidth="1"/>
    <col min="14342" max="14592" width="9.140625" style="35"/>
    <col min="14593" max="14593" width="75.5703125" style="35" bestFit="1" customWidth="1"/>
    <col min="14594" max="14594" width="16.85546875" style="35" bestFit="1" customWidth="1"/>
    <col min="14595" max="14595" width="39.85546875" style="35" customWidth="1"/>
    <col min="14596" max="14596" width="13.140625" style="35" bestFit="1" customWidth="1"/>
    <col min="14597" max="14597" width="44.5703125" style="35" bestFit="1" customWidth="1"/>
    <col min="14598" max="14848" width="9.140625" style="35"/>
    <col min="14849" max="14849" width="75.5703125" style="35" bestFit="1" customWidth="1"/>
    <col min="14850" max="14850" width="16.85546875" style="35" bestFit="1" customWidth="1"/>
    <col min="14851" max="14851" width="39.85546875" style="35" customWidth="1"/>
    <col min="14852" max="14852" width="13.140625" style="35" bestFit="1" customWidth="1"/>
    <col min="14853" max="14853" width="44.5703125" style="35" bestFit="1" customWidth="1"/>
    <col min="14854" max="15104" width="9.140625" style="35"/>
    <col min="15105" max="15105" width="75.5703125" style="35" bestFit="1" customWidth="1"/>
    <col min="15106" max="15106" width="16.85546875" style="35" bestFit="1" customWidth="1"/>
    <col min="15107" max="15107" width="39.85546875" style="35" customWidth="1"/>
    <col min="15108" max="15108" width="13.140625" style="35" bestFit="1" customWidth="1"/>
    <col min="15109" max="15109" width="44.5703125" style="35" bestFit="1" customWidth="1"/>
    <col min="15110" max="15360" width="9.140625" style="35"/>
    <col min="15361" max="15361" width="75.5703125" style="35" bestFit="1" customWidth="1"/>
    <col min="15362" max="15362" width="16.85546875" style="35" bestFit="1" customWidth="1"/>
    <col min="15363" max="15363" width="39.85546875" style="35" customWidth="1"/>
    <col min="15364" max="15364" width="13.140625" style="35" bestFit="1" customWidth="1"/>
    <col min="15365" max="15365" width="44.5703125" style="35" bestFit="1" customWidth="1"/>
    <col min="15366" max="15616" width="9.140625" style="35"/>
    <col min="15617" max="15617" width="75.5703125" style="35" bestFit="1" customWidth="1"/>
    <col min="15618" max="15618" width="16.85546875" style="35" bestFit="1" customWidth="1"/>
    <col min="15619" max="15619" width="39.85546875" style="35" customWidth="1"/>
    <col min="15620" max="15620" width="13.140625" style="35" bestFit="1" customWidth="1"/>
    <col min="15621" max="15621" width="44.5703125" style="35" bestFit="1" customWidth="1"/>
    <col min="15622" max="15872" width="9.140625" style="35"/>
    <col min="15873" max="15873" width="75.5703125" style="35" bestFit="1" customWidth="1"/>
    <col min="15874" max="15874" width="16.85546875" style="35" bestFit="1" customWidth="1"/>
    <col min="15875" max="15875" width="39.85546875" style="35" customWidth="1"/>
    <col min="15876" max="15876" width="13.140625" style="35" bestFit="1" customWidth="1"/>
    <col min="15877" max="15877" width="44.5703125" style="35" bestFit="1" customWidth="1"/>
    <col min="15878" max="16128" width="9.140625" style="35"/>
    <col min="16129" max="16129" width="75.5703125" style="35" bestFit="1" customWidth="1"/>
    <col min="16130" max="16130" width="16.85546875" style="35" bestFit="1" customWidth="1"/>
    <col min="16131" max="16131" width="39.85546875" style="35" customWidth="1"/>
    <col min="16132" max="16132" width="13.140625" style="35" bestFit="1" customWidth="1"/>
    <col min="16133" max="16133" width="44.5703125" style="35" bestFit="1" customWidth="1"/>
    <col min="16134" max="16384" width="9.140625" style="35"/>
  </cols>
  <sheetData>
    <row r="1" spans="1:5" ht="20.25" thickBot="1" x14ac:dyDescent="0.25">
      <c r="A1" s="192" t="s">
        <v>164</v>
      </c>
      <c r="B1" s="193"/>
      <c r="C1" s="193"/>
      <c r="D1" s="193"/>
      <c r="E1" s="194"/>
    </row>
    <row r="2" spans="1:5" ht="20.25" thickBot="1" x14ac:dyDescent="0.25">
      <c r="A2" s="38"/>
      <c r="B2" s="39"/>
      <c r="C2" s="39"/>
      <c r="D2" s="39"/>
      <c r="E2" s="40"/>
    </row>
    <row r="3" spans="1:5" ht="15.75" thickBot="1" x14ac:dyDescent="0.25">
      <c r="A3" s="195" t="s">
        <v>185</v>
      </c>
      <c r="B3" s="196"/>
      <c r="C3" s="196"/>
      <c r="D3" s="196"/>
      <c r="E3" s="197"/>
    </row>
    <row r="4" spans="1:5" ht="20.25" thickBot="1" x14ac:dyDescent="0.25">
      <c r="A4" s="41"/>
      <c r="B4" s="42"/>
      <c r="C4" s="42"/>
      <c r="D4" s="42"/>
      <c r="E4" s="43"/>
    </row>
    <row r="5" spans="1:5" x14ac:dyDescent="0.2">
      <c r="A5" s="44" t="s">
        <v>33</v>
      </c>
      <c r="B5" s="45" t="s">
        <v>34</v>
      </c>
      <c r="C5" s="45" t="s">
        <v>35</v>
      </c>
      <c r="D5" s="45" t="s">
        <v>36</v>
      </c>
      <c r="E5" s="46" t="s">
        <v>37</v>
      </c>
    </row>
    <row r="6" spans="1:5" ht="13.5" thickBot="1" x14ac:dyDescent="0.25">
      <c r="A6" s="47" t="s">
        <v>165</v>
      </c>
      <c r="B6" s="48" t="s">
        <v>34</v>
      </c>
      <c r="C6" s="48" t="s">
        <v>39</v>
      </c>
      <c r="D6" s="152">
        <v>1699.28</v>
      </c>
      <c r="E6" s="49" t="s">
        <v>34</v>
      </c>
    </row>
    <row r="7" spans="1:5" ht="13.5" thickBot="1" x14ac:dyDescent="0.25">
      <c r="A7" s="50"/>
      <c r="B7" s="17"/>
      <c r="C7" s="17"/>
      <c r="D7" s="17"/>
      <c r="E7" s="51"/>
    </row>
    <row r="8" spans="1:5" x14ac:dyDescent="0.2">
      <c r="A8" s="52" t="s">
        <v>40</v>
      </c>
      <c r="B8" s="45" t="s">
        <v>41</v>
      </c>
      <c r="C8" s="45" t="s">
        <v>35</v>
      </c>
      <c r="D8" s="45" t="s">
        <v>36</v>
      </c>
      <c r="E8" s="46" t="s">
        <v>37</v>
      </c>
    </row>
    <row r="9" spans="1:5" x14ac:dyDescent="0.2">
      <c r="A9" s="154" t="s">
        <v>42</v>
      </c>
      <c r="B9" s="54" t="s">
        <v>34</v>
      </c>
      <c r="C9" s="23" t="s">
        <v>34</v>
      </c>
      <c r="D9" s="55">
        <f>TRUNC(D6,2)</f>
        <v>1699.28</v>
      </c>
      <c r="E9" s="56" t="s">
        <v>34</v>
      </c>
    </row>
    <row r="10" spans="1:5" x14ac:dyDescent="0.2">
      <c r="A10" s="155" t="s">
        <v>46</v>
      </c>
      <c r="B10" s="54" t="s">
        <v>34</v>
      </c>
      <c r="C10" s="59" t="s">
        <v>216</v>
      </c>
      <c r="D10" s="153">
        <f>TRUNC(D9*30%,2)</f>
        <v>509.78</v>
      </c>
      <c r="E10" s="61" t="s">
        <v>34</v>
      </c>
    </row>
    <row r="11" spans="1:5" ht="12.75" customHeight="1" x14ac:dyDescent="0.2">
      <c r="A11" s="57" t="s">
        <v>48</v>
      </c>
      <c r="B11" s="54">
        <v>106.47</v>
      </c>
      <c r="C11" s="59" t="s">
        <v>219</v>
      </c>
      <c r="D11" s="60">
        <f>TRUNC(((D9+D10)/220)*40%*B11,2)</f>
        <v>427.63</v>
      </c>
      <c r="E11" s="62" t="s">
        <v>227</v>
      </c>
    </row>
    <row r="12" spans="1:5" ht="25.5" x14ac:dyDescent="0.2">
      <c r="A12" s="57" t="s">
        <v>50</v>
      </c>
      <c r="B12" s="54" t="s">
        <v>34</v>
      </c>
      <c r="C12" s="59" t="s">
        <v>228</v>
      </c>
      <c r="D12" s="60">
        <f>TRUNC(SUM(D11:D11)*5/25,2)</f>
        <v>85.52</v>
      </c>
      <c r="E12" s="62" t="s">
        <v>51</v>
      </c>
    </row>
    <row r="13" spans="1:5" ht="13.5" thickBot="1" x14ac:dyDescent="0.25">
      <c r="A13" s="65" t="s">
        <v>52</v>
      </c>
      <c r="B13" s="66" t="s">
        <v>34</v>
      </c>
      <c r="C13" s="67" t="s">
        <v>53</v>
      </c>
      <c r="D13" s="68">
        <f>SUM(D9:D12)</f>
        <v>2722.21</v>
      </c>
      <c r="E13" s="69" t="s">
        <v>34</v>
      </c>
    </row>
    <row r="14" spans="1:5" ht="13.5" thickBot="1" x14ac:dyDescent="0.25">
      <c r="A14" s="50"/>
      <c r="B14" s="70"/>
      <c r="C14" s="27"/>
      <c r="D14" s="17"/>
      <c r="E14" s="51"/>
    </row>
    <row r="15" spans="1:5" x14ac:dyDescent="0.2">
      <c r="A15" s="52" t="s">
        <v>54</v>
      </c>
      <c r="B15" s="45" t="s">
        <v>202</v>
      </c>
      <c r="C15" s="45" t="s">
        <v>35</v>
      </c>
      <c r="D15" s="45" t="s">
        <v>36</v>
      </c>
      <c r="E15" s="46" t="s">
        <v>37</v>
      </c>
    </row>
    <row r="16" spans="1:5" x14ac:dyDescent="0.2">
      <c r="A16" s="71" t="s">
        <v>56</v>
      </c>
      <c r="B16" s="72"/>
      <c r="C16" s="73"/>
      <c r="D16" s="74"/>
      <c r="E16" s="75"/>
    </row>
    <row r="17" spans="1:5" x14ac:dyDescent="0.2">
      <c r="A17" s="154" t="s">
        <v>57</v>
      </c>
      <c r="B17" s="161">
        <v>0.2</v>
      </c>
      <c r="C17" s="23" t="s">
        <v>58</v>
      </c>
      <c r="D17" s="76">
        <f t="shared" ref="D17:D24" si="0">TRUNC((B17)*$D$13,2)</f>
        <v>544.44000000000005</v>
      </c>
      <c r="E17" s="77" t="s">
        <v>59</v>
      </c>
    </row>
    <row r="18" spans="1:5" x14ac:dyDescent="0.2">
      <c r="A18" s="154" t="s">
        <v>60</v>
      </c>
      <c r="B18" s="161">
        <v>0.08</v>
      </c>
      <c r="C18" s="23" t="s">
        <v>61</v>
      </c>
      <c r="D18" s="76">
        <f t="shared" si="0"/>
        <v>217.77</v>
      </c>
      <c r="E18" s="77" t="s">
        <v>62</v>
      </c>
    </row>
    <row r="19" spans="1:5" x14ac:dyDescent="0.2">
      <c r="A19" s="154" t="s">
        <v>63</v>
      </c>
      <c r="B19" s="161">
        <v>1.4999999999999999E-2</v>
      </c>
      <c r="C19" s="23" t="s">
        <v>64</v>
      </c>
      <c r="D19" s="76">
        <f t="shared" si="0"/>
        <v>40.83</v>
      </c>
      <c r="E19" s="77" t="s">
        <v>65</v>
      </c>
    </row>
    <row r="20" spans="1:5" x14ac:dyDescent="0.2">
      <c r="A20" s="154" t="s">
        <v>66</v>
      </c>
      <c r="B20" s="161">
        <v>0.01</v>
      </c>
      <c r="C20" s="23" t="s">
        <v>67</v>
      </c>
      <c r="D20" s="76">
        <f t="shared" si="0"/>
        <v>27.22</v>
      </c>
      <c r="E20" s="77" t="s">
        <v>68</v>
      </c>
    </row>
    <row r="21" spans="1:5" x14ac:dyDescent="0.2">
      <c r="A21" s="154" t="s">
        <v>69</v>
      </c>
      <c r="B21" s="161">
        <v>2E-3</v>
      </c>
      <c r="C21" s="23" t="s">
        <v>70</v>
      </c>
      <c r="D21" s="76">
        <f t="shared" si="0"/>
        <v>5.44</v>
      </c>
      <c r="E21" s="77" t="s">
        <v>71</v>
      </c>
    </row>
    <row r="22" spans="1:5" x14ac:dyDescent="0.2">
      <c r="A22" s="154" t="s">
        <v>72</v>
      </c>
      <c r="B22" s="161">
        <v>6.0000000000000001E-3</v>
      </c>
      <c r="C22" s="23" t="s">
        <v>73</v>
      </c>
      <c r="D22" s="76">
        <f t="shared" si="0"/>
        <v>16.329999999999998</v>
      </c>
      <c r="E22" s="77" t="s">
        <v>74</v>
      </c>
    </row>
    <row r="23" spans="1:5" x14ac:dyDescent="0.2">
      <c r="A23" s="154" t="s">
        <v>75</v>
      </c>
      <c r="B23" s="161">
        <v>2.5000000000000001E-2</v>
      </c>
      <c r="C23" s="23" t="s">
        <v>76</v>
      </c>
      <c r="D23" s="76">
        <f t="shared" si="0"/>
        <v>68.05</v>
      </c>
      <c r="E23" s="77" t="s">
        <v>77</v>
      </c>
    </row>
    <row r="24" spans="1:5" x14ac:dyDescent="0.2">
      <c r="A24" s="156" t="s">
        <v>78</v>
      </c>
      <c r="B24" s="159">
        <f>'Quadro resumo'!C42</f>
        <v>0</v>
      </c>
      <c r="C24" s="23" t="s">
        <v>79</v>
      </c>
      <c r="D24" s="79">
        <f t="shared" si="0"/>
        <v>0</v>
      </c>
      <c r="E24" s="77" t="s">
        <v>80</v>
      </c>
    </row>
    <row r="25" spans="1:5" ht="13.5" thickBot="1" x14ac:dyDescent="0.25">
      <c r="A25" s="65" t="s">
        <v>81</v>
      </c>
      <c r="B25" s="165">
        <f>SUM(B17:B24)</f>
        <v>0.33800000000000008</v>
      </c>
      <c r="C25" s="66" t="s">
        <v>53</v>
      </c>
      <c r="D25" s="81">
        <f>SUM(D17:D24)</f>
        <v>920.08000000000015</v>
      </c>
      <c r="E25" s="69" t="s">
        <v>34</v>
      </c>
    </row>
    <row r="26" spans="1:5" ht="13.5" thickBot="1" x14ac:dyDescent="0.25">
      <c r="A26" s="50"/>
      <c r="B26" s="17"/>
      <c r="C26" s="17"/>
      <c r="D26" s="17"/>
      <c r="E26" s="51"/>
    </row>
    <row r="27" spans="1:5" x14ac:dyDescent="0.2">
      <c r="A27" s="52" t="s">
        <v>82</v>
      </c>
      <c r="B27" s="45" t="s">
        <v>202</v>
      </c>
      <c r="C27" s="45" t="s">
        <v>35</v>
      </c>
      <c r="D27" s="45" t="s">
        <v>36</v>
      </c>
      <c r="E27" s="46" t="s">
        <v>37</v>
      </c>
    </row>
    <row r="28" spans="1:5" x14ac:dyDescent="0.2">
      <c r="A28" s="154" t="s">
        <v>83</v>
      </c>
      <c r="B28" s="164">
        <f>1/12</f>
        <v>8.3333333333333329E-2</v>
      </c>
      <c r="C28" s="23" t="s">
        <v>206</v>
      </c>
      <c r="D28" s="158">
        <f t="shared" ref="D28:D35" si="1">TRUNC((B28)*$D$13,2)</f>
        <v>226.85</v>
      </c>
      <c r="E28" s="77" t="s">
        <v>84</v>
      </c>
    </row>
    <row r="29" spans="1:5" x14ac:dyDescent="0.2">
      <c r="A29" s="154" t="s">
        <v>85</v>
      </c>
      <c r="B29" s="161">
        <f>((1+1/3)/12)</f>
        <v>0.1111111111111111</v>
      </c>
      <c r="C29" s="23" t="s">
        <v>207</v>
      </c>
      <c r="D29" s="158">
        <f t="shared" si="1"/>
        <v>302.45999999999998</v>
      </c>
      <c r="E29" s="77" t="s">
        <v>86</v>
      </c>
    </row>
    <row r="30" spans="1:5" x14ac:dyDescent="0.2">
      <c r="A30" s="53" t="s">
        <v>87</v>
      </c>
      <c r="B30" s="161">
        <f>((7/30)/12)</f>
        <v>1.9444444444444445E-2</v>
      </c>
      <c r="C30" s="23" t="s">
        <v>208</v>
      </c>
      <c r="D30" s="79">
        <f t="shared" si="1"/>
        <v>52.93</v>
      </c>
      <c r="E30" s="77" t="s">
        <v>88</v>
      </c>
    </row>
    <row r="31" spans="1:5" x14ac:dyDescent="0.2">
      <c r="A31" s="53" t="s">
        <v>89</v>
      </c>
      <c r="B31" s="161">
        <f>((5/30)/12)</f>
        <v>1.3888888888888888E-2</v>
      </c>
      <c r="C31" s="23" t="s">
        <v>209</v>
      </c>
      <c r="D31" s="79">
        <f t="shared" si="1"/>
        <v>37.799999999999997</v>
      </c>
      <c r="E31" s="77" t="s">
        <v>90</v>
      </c>
    </row>
    <row r="32" spans="1:5" x14ac:dyDescent="0.2">
      <c r="A32" s="53" t="s">
        <v>91</v>
      </c>
      <c r="B32" s="161">
        <f>((15/30)/12)*1%</f>
        <v>4.1666666666666664E-4</v>
      </c>
      <c r="C32" s="23" t="s">
        <v>211</v>
      </c>
      <c r="D32" s="79">
        <f t="shared" si="1"/>
        <v>1.1299999999999999</v>
      </c>
      <c r="E32" s="77" t="s">
        <v>92</v>
      </c>
    </row>
    <row r="33" spans="1:5" x14ac:dyDescent="0.2">
      <c r="A33" s="53" t="s">
        <v>93</v>
      </c>
      <c r="B33" s="161">
        <f>(1/30)/12</f>
        <v>2.7777777777777779E-3</v>
      </c>
      <c r="C33" s="82" t="s">
        <v>210</v>
      </c>
      <c r="D33" s="79">
        <f t="shared" si="1"/>
        <v>7.56</v>
      </c>
      <c r="E33" s="77" t="s">
        <v>94</v>
      </c>
    </row>
    <row r="34" spans="1:5" ht="25.5" x14ac:dyDescent="0.2">
      <c r="A34" s="53" t="s">
        <v>95</v>
      </c>
      <c r="B34" s="161">
        <f>((1+1/3)/12)*1.5%*(4/12)</f>
        <v>5.5555555555555545E-4</v>
      </c>
      <c r="C34" s="63" t="s">
        <v>240</v>
      </c>
      <c r="D34" s="79">
        <f t="shared" si="1"/>
        <v>1.51</v>
      </c>
      <c r="E34" s="83" t="s">
        <v>96</v>
      </c>
    </row>
    <row r="35" spans="1:5" ht="14.25" x14ac:dyDescent="0.2">
      <c r="A35" s="53" t="s">
        <v>97</v>
      </c>
      <c r="B35" s="161">
        <f>((5/30)/12)*1.5%</f>
        <v>2.0833333333333332E-4</v>
      </c>
      <c r="C35" s="23" t="s">
        <v>214</v>
      </c>
      <c r="D35" s="79">
        <f t="shared" si="1"/>
        <v>0.56000000000000005</v>
      </c>
      <c r="E35" s="77" t="s">
        <v>98</v>
      </c>
    </row>
    <row r="36" spans="1:5" ht="13.5" thickBot="1" x14ac:dyDescent="0.25">
      <c r="A36" s="65" t="s">
        <v>99</v>
      </c>
      <c r="B36" s="165">
        <f>SUM(B28:B35)</f>
        <v>0.23173611111111109</v>
      </c>
      <c r="C36" s="66" t="s">
        <v>53</v>
      </c>
      <c r="D36" s="67">
        <f>SUM(D28:D35)</f>
        <v>630.79999999999973</v>
      </c>
      <c r="E36" s="69" t="s">
        <v>34</v>
      </c>
    </row>
    <row r="37" spans="1:5" ht="14.25" x14ac:dyDescent="0.2">
      <c r="A37" s="50" t="s">
        <v>100</v>
      </c>
      <c r="B37" s="17"/>
      <c r="C37" s="17" t="s">
        <v>101</v>
      </c>
      <c r="D37" s="17"/>
      <c r="E37" s="51"/>
    </row>
    <row r="38" spans="1:5" ht="14.25" x14ac:dyDescent="0.2">
      <c r="A38" s="50" t="s">
        <v>102</v>
      </c>
      <c r="B38" s="17"/>
      <c r="C38" s="17" t="s">
        <v>241</v>
      </c>
      <c r="D38" s="84"/>
      <c r="E38" s="51"/>
    </row>
    <row r="39" spans="1:5" ht="15" thickBot="1" x14ac:dyDescent="0.25">
      <c r="A39" s="50" t="s">
        <v>103</v>
      </c>
      <c r="B39" s="17"/>
      <c r="C39" s="17" t="s">
        <v>104</v>
      </c>
      <c r="D39" s="84"/>
      <c r="E39" s="51"/>
    </row>
    <row r="40" spans="1:5" x14ac:dyDescent="0.2">
      <c r="A40" s="52" t="s">
        <v>105</v>
      </c>
      <c r="B40" s="45" t="s">
        <v>202</v>
      </c>
      <c r="C40" s="45" t="s">
        <v>35</v>
      </c>
      <c r="D40" s="45" t="s">
        <v>36</v>
      </c>
      <c r="E40" s="46" t="s">
        <v>37</v>
      </c>
    </row>
    <row r="41" spans="1:5" x14ac:dyDescent="0.2">
      <c r="A41" s="53" t="s">
        <v>106</v>
      </c>
      <c r="B41" s="164">
        <f>25%*(1/12)</f>
        <v>2.0833333333333332E-2</v>
      </c>
      <c r="C41" s="23" t="s">
        <v>215</v>
      </c>
      <c r="D41" s="79">
        <f>TRUNC(B41*$D$13,2)</f>
        <v>56.71</v>
      </c>
      <c r="E41" s="77" t="s">
        <v>107</v>
      </c>
    </row>
    <row r="42" spans="1:5" x14ac:dyDescent="0.2">
      <c r="A42" s="53" t="s">
        <v>108</v>
      </c>
      <c r="B42" s="161">
        <f>25%*(1/12)</f>
        <v>2.0833333333333332E-2</v>
      </c>
      <c r="C42" s="23" t="s">
        <v>215</v>
      </c>
      <c r="D42" s="79">
        <f>TRUNC(B42*$D$13,2)</f>
        <v>56.71</v>
      </c>
      <c r="E42" s="77" t="s">
        <v>109</v>
      </c>
    </row>
    <row r="43" spans="1:5" x14ac:dyDescent="0.2">
      <c r="A43" s="53" t="s">
        <v>110</v>
      </c>
      <c r="B43" s="161">
        <f>40%*8%</f>
        <v>3.2000000000000001E-2</v>
      </c>
      <c r="C43" s="23" t="s">
        <v>212</v>
      </c>
      <c r="D43" s="79">
        <f>TRUNC(B43*$D$13,2)</f>
        <v>87.11</v>
      </c>
      <c r="E43" s="77" t="s">
        <v>111</v>
      </c>
    </row>
    <row r="44" spans="1:5" ht="14.25" x14ac:dyDescent="0.2">
      <c r="A44" s="53" t="s">
        <v>112</v>
      </c>
      <c r="B44" s="161">
        <f>10%*8%</f>
        <v>8.0000000000000002E-3</v>
      </c>
      <c r="C44" s="23" t="s">
        <v>213</v>
      </c>
      <c r="D44" s="79">
        <f>TRUNC(B44*$D$13,2)</f>
        <v>21.77</v>
      </c>
      <c r="E44" s="77" t="s">
        <v>113</v>
      </c>
    </row>
    <row r="45" spans="1:5" ht="13.5" thickBot="1" x14ac:dyDescent="0.25">
      <c r="A45" s="65" t="s">
        <v>114</v>
      </c>
      <c r="B45" s="165">
        <f>SUM(B41:B44)</f>
        <v>8.1666666666666665E-2</v>
      </c>
      <c r="C45" s="66" t="s">
        <v>53</v>
      </c>
      <c r="D45" s="67">
        <f>SUM(D41:D44)</f>
        <v>222.3</v>
      </c>
      <c r="E45" s="69" t="s">
        <v>34</v>
      </c>
    </row>
    <row r="46" spans="1:5" x14ac:dyDescent="0.2">
      <c r="A46" s="50" t="s">
        <v>115</v>
      </c>
      <c r="B46" s="17"/>
      <c r="C46" s="17" t="s">
        <v>116</v>
      </c>
      <c r="D46" s="17"/>
      <c r="E46" s="51"/>
    </row>
    <row r="47" spans="1:5" ht="27" customHeight="1" thickBot="1" x14ac:dyDescent="0.25">
      <c r="A47" s="198" t="s">
        <v>117</v>
      </c>
      <c r="B47" s="199"/>
      <c r="C47" s="17" t="s">
        <v>118</v>
      </c>
      <c r="D47" s="85"/>
      <c r="E47" s="86"/>
    </row>
    <row r="48" spans="1:5" x14ac:dyDescent="0.2">
      <c r="A48" s="52" t="s">
        <v>119</v>
      </c>
      <c r="B48" s="45" t="s">
        <v>202</v>
      </c>
      <c r="C48" s="45" t="s">
        <v>35</v>
      </c>
      <c r="D48" s="45" t="s">
        <v>36</v>
      </c>
      <c r="E48" s="46" t="s">
        <v>37</v>
      </c>
    </row>
    <row r="49" spans="1:5" x14ac:dyDescent="0.2">
      <c r="A49" s="53" t="s">
        <v>120</v>
      </c>
      <c r="B49" s="164">
        <f>B25*B36</f>
        <v>7.8326805555555559E-2</v>
      </c>
      <c r="C49" s="23" t="s">
        <v>204</v>
      </c>
      <c r="D49" s="79">
        <f>TRUNC((B49)*$D$13,2)</f>
        <v>213.22</v>
      </c>
      <c r="E49" s="56" t="s">
        <v>34</v>
      </c>
    </row>
    <row r="50" spans="1:5" ht="13.5" thickBot="1" x14ac:dyDescent="0.25">
      <c r="A50" s="65" t="s">
        <v>122</v>
      </c>
      <c r="B50" s="165">
        <f>B49</f>
        <v>7.8326805555555559E-2</v>
      </c>
      <c r="C50" s="66" t="s">
        <v>53</v>
      </c>
      <c r="D50" s="67">
        <f>D49</f>
        <v>213.22</v>
      </c>
      <c r="E50" s="69" t="s">
        <v>34</v>
      </c>
    </row>
    <row r="51" spans="1:5" ht="13.5" thickBot="1" x14ac:dyDescent="0.25">
      <c r="A51" s="50"/>
      <c r="B51" s="17"/>
      <c r="C51" s="17"/>
      <c r="D51" s="17"/>
      <c r="E51" s="51"/>
    </row>
    <row r="52" spans="1:5" x14ac:dyDescent="0.2">
      <c r="A52" s="52" t="s">
        <v>123</v>
      </c>
      <c r="B52" s="45" t="s">
        <v>202</v>
      </c>
      <c r="C52" s="45" t="s">
        <v>124</v>
      </c>
      <c r="D52" s="45" t="s">
        <v>36</v>
      </c>
      <c r="E52" s="46" t="s">
        <v>37</v>
      </c>
    </row>
    <row r="53" spans="1:5" x14ac:dyDescent="0.2">
      <c r="A53" s="87" t="s">
        <v>125</v>
      </c>
      <c r="B53" s="162">
        <f>(B18*B41)</f>
        <v>1.6666666666666666E-3</v>
      </c>
      <c r="C53" s="23" t="s">
        <v>126</v>
      </c>
      <c r="D53" s="79">
        <f>TRUNC((B53)*$D$13,2)</f>
        <v>4.53</v>
      </c>
      <c r="E53" s="77" t="s">
        <v>127</v>
      </c>
    </row>
    <row r="54" spans="1:5" ht="25.5" x14ac:dyDescent="0.2">
      <c r="A54" s="78" t="s">
        <v>128</v>
      </c>
      <c r="B54" s="161">
        <f>(B18*B32)</f>
        <v>3.3333333333333335E-5</v>
      </c>
      <c r="C54" s="23" t="s">
        <v>129</v>
      </c>
      <c r="D54" s="79">
        <f>TRUNC((B54)*$D$13,2)</f>
        <v>0.09</v>
      </c>
      <c r="E54" s="56" t="s">
        <v>34</v>
      </c>
    </row>
    <row r="55" spans="1:5" ht="13.5" thickBot="1" x14ac:dyDescent="0.25">
      <c r="A55" s="65" t="s">
        <v>130</v>
      </c>
      <c r="B55" s="165">
        <f>SUM(B53:B54)</f>
        <v>1.6999999999999999E-3</v>
      </c>
      <c r="C55" s="66" t="s">
        <v>53</v>
      </c>
      <c r="D55" s="81">
        <f>SUM(D53:D54)</f>
        <v>4.62</v>
      </c>
      <c r="E55" s="69" t="s">
        <v>34</v>
      </c>
    </row>
    <row r="56" spans="1:5" ht="27" customHeight="1" thickBot="1" x14ac:dyDescent="0.25">
      <c r="A56" s="200" t="s">
        <v>131</v>
      </c>
      <c r="B56" s="201"/>
      <c r="C56" s="201"/>
      <c r="D56" s="201"/>
      <c r="E56" s="202"/>
    </row>
    <row r="57" spans="1:5" x14ac:dyDescent="0.2">
      <c r="A57" s="52" t="s">
        <v>132</v>
      </c>
      <c r="B57" s="45" t="s">
        <v>202</v>
      </c>
      <c r="C57" s="45" t="s">
        <v>35</v>
      </c>
      <c r="D57" s="45" t="s">
        <v>36</v>
      </c>
      <c r="E57" s="46" t="s">
        <v>37</v>
      </c>
    </row>
    <row r="58" spans="1:5" ht="25.5" x14ac:dyDescent="0.2">
      <c r="A58" s="78" t="s">
        <v>133</v>
      </c>
      <c r="B58" s="88">
        <f>B25*(13/12)*(4/12)*1.5%</f>
        <v>1.8308333333333336E-3</v>
      </c>
      <c r="C58" s="88" t="s">
        <v>244</v>
      </c>
      <c r="D58" s="79">
        <f>TRUNC((B58)*$D$13,2)</f>
        <v>4.9800000000000004</v>
      </c>
      <c r="E58" s="83" t="s">
        <v>242</v>
      </c>
    </row>
    <row r="59" spans="1:5" ht="13.5" thickBot="1" x14ac:dyDescent="0.25">
      <c r="A59" s="65" t="s">
        <v>134</v>
      </c>
      <c r="B59" s="165">
        <f>B58</f>
        <v>1.8308333333333336E-3</v>
      </c>
      <c r="C59" s="66" t="s">
        <v>53</v>
      </c>
      <c r="D59" s="67">
        <f>D58</f>
        <v>4.9800000000000004</v>
      </c>
      <c r="E59" s="69" t="s">
        <v>34</v>
      </c>
    </row>
    <row r="60" spans="1:5" ht="13.5" thickBot="1" x14ac:dyDescent="0.25">
      <c r="A60" s="50"/>
      <c r="B60" s="17"/>
      <c r="C60" s="17"/>
      <c r="D60" s="17"/>
      <c r="E60" s="51"/>
    </row>
    <row r="61" spans="1:5" ht="13.5" thickBot="1" x14ac:dyDescent="0.25">
      <c r="A61" s="89" t="s">
        <v>135</v>
      </c>
      <c r="B61" s="166">
        <f>B25+B36+B45+B50+B55+B59</f>
        <v>0.73326041666666686</v>
      </c>
      <c r="C61" s="91" t="s">
        <v>53</v>
      </c>
      <c r="D61" s="92">
        <f>SUM(D25,D36,D45,D50,D55,D59)</f>
        <v>1995.9999999999998</v>
      </c>
      <c r="E61" s="93" t="s">
        <v>34</v>
      </c>
    </row>
    <row r="62" spans="1:5" ht="13.5" thickBot="1" x14ac:dyDescent="0.25">
      <c r="A62" s="50"/>
      <c r="B62" s="17"/>
      <c r="C62" s="17"/>
      <c r="D62" s="94"/>
      <c r="E62" s="51"/>
    </row>
    <row r="63" spans="1:5" x14ac:dyDescent="0.2">
      <c r="A63" s="52" t="s">
        <v>136</v>
      </c>
      <c r="B63" s="45" t="s">
        <v>36</v>
      </c>
      <c r="C63" s="45" t="s">
        <v>35</v>
      </c>
      <c r="D63" s="45" t="s">
        <v>36</v>
      </c>
      <c r="E63" s="46" t="s">
        <v>37</v>
      </c>
    </row>
    <row r="64" spans="1:5" x14ac:dyDescent="0.2">
      <c r="A64" s="154" t="s">
        <v>137</v>
      </c>
      <c r="B64" s="95">
        <f>ROUNDUP('Quadro resumo'!$C$27/12,2)</f>
        <v>0</v>
      </c>
      <c r="C64" s="96" t="s">
        <v>138</v>
      </c>
      <c r="D64" s="55">
        <f>TRUNC(B64,2)</f>
        <v>0</v>
      </c>
      <c r="E64" s="77" t="s">
        <v>139</v>
      </c>
    </row>
    <row r="65" spans="1:5" x14ac:dyDescent="0.2">
      <c r="A65" s="154" t="s">
        <v>140</v>
      </c>
      <c r="B65" s="97">
        <f>ROUNDUP(('Quadro resumo'!E22/12)/14,2)</f>
        <v>0</v>
      </c>
      <c r="C65" s="96" t="s">
        <v>225</v>
      </c>
      <c r="D65" s="55">
        <f t="shared" ref="D65:D70" si="2">B65</f>
        <v>0</v>
      </c>
      <c r="E65" s="77" t="s">
        <v>139</v>
      </c>
    </row>
    <row r="66" spans="1:5" ht="25.5" x14ac:dyDescent="0.2">
      <c r="A66" s="154" t="s">
        <v>141</v>
      </c>
      <c r="B66" s="97">
        <f>TRUNC(19*15,2)</f>
        <v>285</v>
      </c>
      <c r="C66" s="96" t="s">
        <v>230</v>
      </c>
      <c r="D66" s="55">
        <f>B66</f>
        <v>285</v>
      </c>
      <c r="E66" s="64" t="s">
        <v>233</v>
      </c>
    </row>
    <row r="67" spans="1:5" ht="25.5" customHeight="1" x14ac:dyDescent="0.2">
      <c r="A67" s="154" t="s">
        <v>142</v>
      </c>
      <c r="B67" s="97">
        <f>TRUNC(4.5*15*4,2)</f>
        <v>270</v>
      </c>
      <c r="C67" s="96" t="s">
        <v>231</v>
      </c>
      <c r="D67" s="55">
        <f t="shared" ref="D67" si="3">B67</f>
        <v>270</v>
      </c>
      <c r="E67" s="64" t="s">
        <v>232</v>
      </c>
    </row>
    <row r="68" spans="1:5" x14ac:dyDescent="0.2">
      <c r="A68" s="169" t="s">
        <v>143</v>
      </c>
      <c r="B68" s="99">
        <f>'Quadro resumo'!C34*3</f>
        <v>0</v>
      </c>
      <c r="C68" s="23" t="str">
        <f>'Quadro resumo'!C33 &amp;" * 3"</f>
        <v>Valor * 3</v>
      </c>
      <c r="D68" s="100">
        <f t="shared" si="2"/>
        <v>0</v>
      </c>
      <c r="E68" s="64" t="s">
        <v>221</v>
      </c>
    </row>
    <row r="69" spans="1:5" x14ac:dyDescent="0.2">
      <c r="A69" s="170" t="s">
        <v>184</v>
      </c>
      <c r="B69" s="99">
        <f>ROUNDUP(('Quadro resumo'!C35*3)/12,2)</f>
        <v>0</v>
      </c>
      <c r="C69" s="54" t="str">
        <f>"Valor * 3 / 12"</f>
        <v>Valor * 3 / 12</v>
      </c>
      <c r="D69" s="100">
        <f t="shared" si="2"/>
        <v>0</v>
      </c>
      <c r="E69" s="64" t="s">
        <v>221</v>
      </c>
    </row>
    <row r="70" spans="1:5" x14ac:dyDescent="0.2">
      <c r="A70" s="155" t="s">
        <v>189</v>
      </c>
      <c r="B70" s="143">
        <v>14.48</v>
      </c>
      <c r="C70" s="54" t="s">
        <v>34</v>
      </c>
      <c r="D70" s="150">
        <f t="shared" si="2"/>
        <v>14.48</v>
      </c>
      <c r="E70" s="64" t="s">
        <v>190</v>
      </c>
    </row>
    <row r="71" spans="1:5" x14ac:dyDescent="0.2">
      <c r="A71" s="154" t="s">
        <v>20</v>
      </c>
      <c r="B71" s="122">
        <f>ROUNDUP('Quadro resumo'!C28/12,2)</f>
        <v>0</v>
      </c>
      <c r="C71" s="23"/>
      <c r="D71" s="100">
        <f>TRUNC(B71,2)</f>
        <v>0</v>
      </c>
      <c r="E71" s="64" t="s">
        <v>191</v>
      </c>
    </row>
    <row r="72" spans="1:5" x14ac:dyDescent="0.2">
      <c r="A72" s="154" t="s">
        <v>144</v>
      </c>
      <c r="B72" s="101">
        <v>119.69</v>
      </c>
      <c r="C72" s="102" t="s">
        <v>34</v>
      </c>
      <c r="D72" s="100">
        <f>TRUNC(B72,2)</f>
        <v>119.69</v>
      </c>
      <c r="E72" s="64" t="s">
        <v>192</v>
      </c>
    </row>
    <row r="73" spans="1:5" ht="15.75" customHeight="1" x14ac:dyDescent="0.2">
      <c r="A73" s="154" t="s">
        <v>145</v>
      </c>
      <c r="B73" s="101">
        <v>4</v>
      </c>
      <c r="C73" s="102" t="s">
        <v>34</v>
      </c>
      <c r="D73" s="100">
        <f>TRUNC(B73,2)</f>
        <v>4</v>
      </c>
      <c r="E73" s="64" t="s">
        <v>246</v>
      </c>
    </row>
    <row r="74" spans="1:5" x14ac:dyDescent="0.2">
      <c r="A74" s="156" t="s">
        <v>146</v>
      </c>
      <c r="B74" s="98">
        <f>IF(B67&gt;=TRUNC(0.06*D9,2),TRUNC(-0.06*D9,2),-B67)</f>
        <v>-101.95</v>
      </c>
      <c r="C74" s="23" t="s">
        <v>147</v>
      </c>
      <c r="D74" s="76">
        <f>B74</f>
        <v>-101.95</v>
      </c>
      <c r="E74" s="103" t="s">
        <v>148</v>
      </c>
    </row>
    <row r="75" spans="1:5" ht="25.5" customHeight="1" x14ac:dyDescent="0.2">
      <c r="A75" s="157" t="s">
        <v>188</v>
      </c>
      <c r="B75" s="104">
        <f>ROUNDUP('Quadro resumo'!C29/12,2)</f>
        <v>0</v>
      </c>
      <c r="C75" s="54" t="s">
        <v>149</v>
      </c>
      <c r="D75" s="60">
        <f>B75</f>
        <v>0</v>
      </c>
      <c r="E75" s="62" t="s">
        <v>150</v>
      </c>
    </row>
    <row r="76" spans="1:5" ht="25.5" customHeight="1" x14ac:dyDescent="0.2">
      <c r="A76" s="157" t="s">
        <v>179</v>
      </c>
      <c r="B76" s="104">
        <f>TRUNC('Quadro resumo'!C39,2)</f>
        <v>0</v>
      </c>
      <c r="C76" s="54" t="s">
        <v>149</v>
      </c>
      <c r="D76" s="60">
        <f>B76</f>
        <v>0</v>
      </c>
      <c r="E76" s="62" t="s">
        <v>180</v>
      </c>
    </row>
    <row r="77" spans="1:5" ht="13.5" thickBot="1" x14ac:dyDescent="0.25">
      <c r="A77" s="65" t="s">
        <v>151</v>
      </c>
      <c r="B77" s="80" t="s">
        <v>34</v>
      </c>
      <c r="C77" s="66" t="s">
        <v>53</v>
      </c>
      <c r="D77" s="67">
        <f>SUM(D64:D76)</f>
        <v>591.22</v>
      </c>
      <c r="E77" s="69" t="s">
        <v>34</v>
      </c>
    </row>
    <row r="78" spans="1:5" ht="13.5" thickBot="1" x14ac:dyDescent="0.25">
      <c r="A78" s="105"/>
      <c r="B78" s="106"/>
      <c r="C78" s="106"/>
      <c r="D78" s="106"/>
      <c r="E78" s="107"/>
    </row>
    <row r="79" spans="1:5" ht="12.75" customHeight="1" thickBot="1" x14ac:dyDescent="0.25">
      <c r="A79" s="108" t="s">
        <v>152</v>
      </c>
      <c r="B79" s="90" t="s">
        <v>34</v>
      </c>
      <c r="C79" s="90" t="s">
        <v>153</v>
      </c>
      <c r="D79" s="109">
        <f>SUM(D13,D61,D77)</f>
        <v>5309.43</v>
      </c>
      <c r="E79" s="93" t="s">
        <v>34</v>
      </c>
    </row>
    <row r="80" spans="1:5" ht="13.5" thickBot="1" x14ac:dyDescent="0.25">
      <c r="A80" s="110"/>
      <c r="B80" s="111"/>
      <c r="C80" s="111"/>
      <c r="D80" s="111"/>
      <c r="E80" s="112"/>
    </row>
    <row r="81" spans="1:5" x14ac:dyDescent="0.2">
      <c r="A81" s="52" t="s">
        <v>154</v>
      </c>
      <c r="B81" s="45" t="s">
        <v>202</v>
      </c>
      <c r="C81" s="45" t="s">
        <v>35</v>
      </c>
      <c r="D81" s="45" t="s">
        <v>36</v>
      </c>
      <c r="E81" s="46" t="s">
        <v>37</v>
      </c>
    </row>
    <row r="82" spans="1:5" ht="12.75" customHeight="1" x14ac:dyDescent="0.2">
      <c r="A82" s="53" t="s">
        <v>195</v>
      </c>
      <c r="B82" s="159">
        <f>'Quadro resumo'!C45</f>
        <v>0</v>
      </c>
      <c r="C82" s="189" t="s">
        <v>155</v>
      </c>
      <c r="D82" s="98">
        <f>TRUNC(B82*$D$79,2)</f>
        <v>0</v>
      </c>
      <c r="E82" s="113" t="s">
        <v>34</v>
      </c>
    </row>
    <row r="83" spans="1:5" x14ac:dyDescent="0.2">
      <c r="A83" s="53" t="s">
        <v>27</v>
      </c>
      <c r="B83" s="159">
        <f>'Quadro resumo'!C46</f>
        <v>0</v>
      </c>
      <c r="C83" s="203"/>
      <c r="D83" s="98">
        <f>TRUNC(B83*$D$79,2)</f>
        <v>0</v>
      </c>
      <c r="E83" s="113" t="s">
        <v>34</v>
      </c>
    </row>
    <row r="84" spans="1:5" ht="13.5" thickBot="1" x14ac:dyDescent="0.25">
      <c r="A84" s="65" t="s">
        <v>156</v>
      </c>
      <c r="B84" s="165">
        <f>SUM(B82:B83)</f>
        <v>0</v>
      </c>
      <c r="C84" s="66" t="s">
        <v>53</v>
      </c>
      <c r="D84" s="67">
        <f>SUM(D82:D83)</f>
        <v>0</v>
      </c>
      <c r="E84" s="69" t="s">
        <v>34</v>
      </c>
    </row>
    <row r="85" spans="1:5" ht="13.5" thickBot="1" x14ac:dyDescent="0.25">
      <c r="A85" s="114"/>
      <c r="B85" s="17"/>
      <c r="C85" s="17"/>
      <c r="D85" s="17"/>
      <c r="E85" s="51"/>
    </row>
    <row r="86" spans="1:5" x14ac:dyDescent="0.2">
      <c r="A86" s="115" t="s">
        <v>157</v>
      </c>
      <c r="B86" s="45" t="s">
        <v>202</v>
      </c>
      <c r="C86" s="45" t="s">
        <v>35</v>
      </c>
      <c r="D86" s="45" t="s">
        <v>36</v>
      </c>
      <c r="E86" s="46" t="s">
        <v>37</v>
      </c>
    </row>
    <row r="87" spans="1:5" x14ac:dyDescent="0.2">
      <c r="A87" s="53" t="s">
        <v>29</v>
      </c>
      <c r="B87" s="159">
        <f>'Quadro resumo'!C52</f>
        <v>0</v>
      </c>
      <c r="C87" s="189" t="s">
        <v>158</v>
      </c>
      <c r="D87" s="79">
        <f>TRUNC((($D$79+$D$84)/(1-(($B$87+$B$88+$B$89))))*(B87),2)</f>
        <v>0</v>
      </c>
      <c r="E87" s="113" t="s">
        <v>34</v>
      </c>
    </row>
    <row r="88" spans="1:5" x14ac:dyDescent="0.2">
      <c r="A88" s="53" t="s">
        <v>30</v>
      </c>
      <c r="B88" s="159">
        <f>'Quadro resumo'!C53</f>
        <v>0</v>
      </c>
      <c r="C88" s="190"/>
      <c r="D88" s="79">
        <f>TRUNC((($D$79+$D$84)/(1-(($B$87+$B$88+$B$89))))*(B88),2)</f>
        <v>0</v>
      </c>
      <c r="E88" s="113" t="s">
        <v>34</v>
      </c>
    </row>
    <row r="89" spans="1:5" x14ac:dyDescent="0.2">
      <c r="A89" s="53" t="s">
        <v>31</v>
      </c>
      <c r="B89" s="159">
        <f>'Quadro resumo'!C54</f>
        <v>0</v>
      </c>
      <c r="C89" s="191"/>
      <c r="D89" s="79">
        <f>TRUNC((($D$79+$D$84)/(1-(($B$87+$B$88+$B$89))))*(B89),2)</f>
        <v>0</v>
      </c>
      <c r="E89" s="113" t="s">
        <v>34</v>
      </c>
    </row>
    <row r="90" spans="1:5" ht="13.5" thickBot="1" x14ac:dyDescent="0.25">
      <c r="A90" s="65" t="s">
        <v>159</v>
      </c>
      <c r="B90" s="165">
        <f>SUM(B87:B89)</f>
        <v>0</v>
      </c>
      <c r="C90" s="66" t="s">
        <v>53</v>
      </c>
      <c r="D90" s="67">
        <f>SUM(D87:D89)</f>
        <v>0</v>
      </c>
      <c r="E90" s="69" t="s">
        <v>34</v>
      </c>
    </row>
    <row r="91" spans="1:5" ht="13.5" thickBot="1" x14ac:dyDescent="0.25">
      <c r="A91" s="50"/>
      <c r="B91" s="17"/>
      <c r="C91" s="17"/>
      <c r="D91" s="17"/>
      <c r="E91" s="51"/>
    </row>
    <row r="92" spans="1:5" ht="13.5" thickBot="1" x14ac:dyDescent="0.25">
      <c r="A92" s="116" t="s">
        <v>160</v>
      </c>
      <c r="B92" s="117"/>
      <c r="C92" s="45" t="s">
        <v>35</v>
      </c>
      <c r="D92" s="117" t="s">
        <v>161</v>
      </c>
      <c r="E92" s="46" t="s">
        <v>162</v>
      </c>
    </row>
    <row r="93" spans="1:5" ht="13.5" thickBot="1" x14ac:dyDescent="0.25">
      <c r="A93" s="118"/>
      <c r="B93" s="119"/>
      <c r="C93" s="119" t="s">
        <v>163</v>
      </c>
      <c r="D93" s="120">
        <f>SUM(D79,D84,D90)</f>
        <v>5309.43</v>
      </c>
      <c r="E93" s="121">
        <f>D93*12</f>
        <v>63713.16</v>
      </c>
    </row>
  </sheetData>
  <sheetProtection algorithmName="SHA-512" hashValue="YrvR2nB/y9LZSsIRRPDUkH8u0pck8YqeMvpqsCequPa04hMny4Wvob9RL2olzqvuMvQa3ReX6+RWrlkYMlSDlQ==" saltValue="9ervopBxiX0x3/z9HhOigA==" spinCount="100000" sheet="1" objects="1" scenarios="1"/>
  <mergeCells count="6">
    <mergeCell ref="C87:C89"/>
    <mergeCell ref="A1:E1"/>
    <mergeCell ref="A3:E3"/>
    <mergeCell ref="A47:B47"/>
    <mergeCell ref="A56:E56"/>
    <mergeCell ref="C82:C83"/>
  </mergeCells>
  <pageMargins left="0.511811024" right="0.511811024" top="0.78740157499999996" bottom="0.78740157499999996" header="0.31496062000000002" footer="0.31496062000000002"/>
  <ignoredErrors>
    <ignoredError sqref="D7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B93" sqref="B93"/>
    </sheetView>
  </sheetViews>
  <sheetFormatPr defaultRowHeight="12.75" x14ac:dyDescent="0.2"/>
  <cols>
    <col min="1" max="1" width="75.5703125" style="35" bestFit="1" customWidth="1"/>
    <col min="2" max="2" width="16.85546875" style="35" bestFit="1" customWidth="1"/>
    <col min="3" max="3" width="40" style="35" customWidth="1"/>
    <col min="4" max="4" width="13.140625" style="35" bestFit="1" customWidth="1"/>
    <col min="5" max="5" width="44.5703125" style="35" bestFit="1" customWidth="1"/>
    <col min="6" max="256" width="9.140625" style="35"/>
    <col min="257" max="257" width="75.5703125" style="35" bestFit="1" customWidth="1"/>
    <col min="258" max="258" width="16.85546875" style="35" bestFit="1" customWidth="1"/>
    <col min="259" max="259" width="40" style="35" customWidth="1"/>
    <col min="260" max="260" width="13.140625" style="35" bestFit="1" customWidth="1"/>
    <col min="261" max="261" width="44.5703125" style="35" bestFit="1" customWidth="1"/>
    <col min="262" max="512" width="9.140625" style="35"/>
    <col min="513" max="513" width="75.5703125" style="35" bestFit="1" customWidth="1"/>
    <col min="514" max="514" width="16.85546875" style="35" bestFit="1" customWidth="1"/>
    <col min="515" max="515" width="40" style="35" customWidth="1"/>
    <col min="516" max="516" width="13.140625" style="35" bestFit="1" customWidth="1"/>
    <col min="517" max="517" width="44.5703125" style="35" bestFit="1" customWidth="1"/>
    <col min="518" max="768" width="9.140625" style="35"/>
    <col min="769" max="769" width="75.5703125" style="35" bestFit="1" customWidth="1"/>
    <col min="770" max="770" width="16.85546875" style="35" bestFit="1" customWidth="1"/>
    <col min="771" max="771" width="40" style="35" customWidth="1"/>
    <col min="772" max="772" width="13.140625" style="35" bestFit="1" customWidth="1"/>
    <col min="773" max="773" width="44.5703125" style="35" bestFit="1" customWidth="1"/>
    <col min="774" max="1024" width="9.140625" style="35"/>
    <col min="1025" max="1025" width="75.5703125" style="35" bestFit="1" customWidth="1"/>
    <col min="1026" max="1026" width="16.85546875" style="35" bestFit="1" customWidth="1"/>
    <col min="1027" max="1027" width="40" style="35" customWidth="1"/>
    <col min="1028" max="1028" width="13.140625" style="35" bestFit="1" customWidth="1"/>
    <col min="1029" max="1029" width="44.5703125" style="35" bestFit="1" customWidth="1"/>
    <col min="1030" max="1280" width="9.140625" style="35"/>
    <col min="1281" max="1281" width="75.5703125" style="35" bestFit="1" customWidth="1"/>
    <col min="1282" max="1282" width="16.85546875" style="35" bestFit="1" customWidth="1"/>
    <col min="1283" max="1283" width="40" style="35" customWidth="1"/>
    <col min="1284" max="1284" width="13.140625" style="35" bestFit="1" customWidth="1"/>
    <col min="1285" max="1285" width="44.5703125" style="35" bestFit="1" customWidth="1"/>
    <col min="1286" max="1536" width="9.140625" style="35"/>
    <col min="1537" max="1537" width="75.5703125" style="35" bestFit="1" customWidth="1"/>
    <col min="1538" max="1538" width="16.85546875" style="35" bestFit="1" customWidth="1"/>
    <col min="1539" max="1539" width="40" style="35" customWidth="1"/>
    <col min="1540" max="1540" width="13.140625" style="35" bestFit="1" customWidth="1"/>
    <col min="1541" max="1541" width="44.5703125" style="35" bestFit="1" customWidth="1"/>
    <col min="1542" max="1792" width="9.140625" style="35"/>
    <col min="1793" max="1793" width="75.5703125" style="35" bestFit="1" customWidth="1"/>
    <col min="1794" max="1794" width="16.85546875" style="35" bestFit="1" customWidth="1"/>
    <col min="1795" max="1795" width="40" style="35" customWidth="1"/>
    <col min="1796" max="1796" width="13.140625" style="35" bestFit="1" customWidth="1"/>
    <col min="1797" max="1797" width="44.5703125" style="35" bestFit="1" customWidth="1"/>
    <col min="1798" max="2048" width="9.140625" style="35"/>
    <col min="2049" max="2049" width="75.5703125" style="35" bestFit="1" customWidth="1"/>
    <col min="2050" max="2050" width="16.85546875" style="35" bestFit="1" customWidth="1"/>
    <col min="2051" max="2051" width="40" style="35" customWidth="1"/>
    <col min="2052" max="2052" width="13.140625" style="35" bestFit="1" customWidth="1"/>
    <col min="2053" max="2053" width="44.5703125" style="35" bestFit="1" customWidth="1"/>
    <col min="2054" max="2304" width="9.140625" style="35"/>
    <col min="2305" max="2305" width="75.5703125" style="35" bestFit="1" customWidth="1"/>
    <col min="2306" max="2306" width="16.85546875" style="35" bestFit="1" customWidth="1"/>
    <col min="2307" max="2307" width="40" style="35" customWidth="1"/>
    <col min="2308" max="2308" width="13.140625" style="35" bestFit="1" customWidth="1"/>
    <col min="2309" max="2309" width="44.5703125" style="35" bestFit="1" customWidth="1"/>
    <col min="2310" max="2560" width="9.140625" style="35"/>
    <col min="2561" max="2561" width="75.5703125" style="35" bestFit="1" customWidth="1"/>
    <col min="2562" max="2562" width="16.85546875" style="35" bestFit="1" customWidth="1"/>
    <col min="2563" max="2563" width="40" style="35" customWidth="1"/>
    <col min="2564" max="2564" width="13.140625" style="35" bestFit="1" customWidth="1"/>
    <col min="2565" max="2565" width="44.5703125" style="35" bestFit="1" customWidth="1"/>
    <col min="2566" max="2816" width="9.140625" style="35"/>
    <col min="2817" max="2817" width="75.5703125" style="35" bestFit="1" customWidth="1"/>
    <col min="2818" max="2818" width="16.85546875" style="35" bestFit="1" customWidth="1"/>
    <col min="2819" max="2819" width="40" style="35" customWidth="1"/>
    <col min="2820" max="2820" width="13.140625" style="35" bestFit="1" customWidth="1"/>
    <col min="2821" max="2821" width="44.5703125" style="35" bestFit="1" customWidth="1"/>
    <col min="2822" max="3072" width="9.140625" style="35"/>
    <col min="3073" max="3073" width="75.5703125" style="35" bestFit="1" customWidth="1"/>
    <col min="3074" max="3074" width="16.85546875" style="35" bestFit="1" customWidth="1"/>
    <col min="3075" max="3075" width="40" style="35" customWidth="1"/>
    <col min="3076" max="3076" width="13.140625" style="35" bestFit="1" customWidth="1"/>
    <col min="3077" max="3077" width="44.5703125" style="35" bestFit="1" customWidth="1"/>
    <col min="3078" max="3328" width="9.140625" style="35"/>
    <col min="3329" max="3329" width="75.5703125" style="35" bestFit="1" customWidth="1"/>
    <col min="3330" max="3330" width="16.85546875" style="35" bestFit="1" customWidth="1"/>
    <col min="3331" max="3331" width="40" style="35" customWidth="1"/>
    <col min="3332" max="3332" width="13.140625" style="35" bestFit="1" customWidth="1"/>
    <col min="3333" max="3333" width="44.5703125" style="35" bestFit="1" customWidth="1"/>
    <col min="3334" max="3584" width="9.140625" style="35"/>
    <col min="3585" max="3585" width="75.5703125" style="35" bestFit="1" customWidth="1"/>
    <col min="3586" max="3586" width="16.85546875" style="35" bestFit="1" customWidth="1"/>
    <col min="3587" max="3587" width="40" style="35" customWidth="1"/>
    <col min="3588" max="3588" width="13.140625" style="35" bestFit="1" customWidth="1"/>
    <col min="3589" max="3589" width="44.5703125" style="35" bestFit="1" customWidth="1"/>
    <col min="3590" max="3840" width="9.140625" style="35"/>
    <col min="3841" max="3841" width="75.5703125" style="35" bestFit="1" customWidth="1"/>
    <col min="3842" max="3842" width="16.85546875" style="35" bestFit="1" customWidth="1"/>
    <col min="3843" max="3843" width="40" style="35" customWidth="1"/>
    <col min="3844" max="3844" width="13.140625" style="35" bestFit="1" customWidth="1"/>
    <col min="3845" max="3845" width="44.5703125" style="35" bestFit="1" customWidth="1"/>
    <col min="3846" max="4096" width="9.140625" style="35"/>
    <col min="4097" max="4097" width="75.5703125" style="35" bestFit="1" customWidth="1"/>
    <col min="4098" max="4098" width="16.85546875" style="35" bestFit="1" customWidth="1"/>
    <col min="4099" max="4099" width="40" style="35" customWidth="1"/>
    <col min="4100" max="4100" width="13.140625" style="35" bestFit="1" customWidth="1"/>
    <col min="4101" max="4101" width="44.5703125" style="35" bestFit="1" customWidth="1"/>
    <col min="4102" max="4352" width="9.140625" style="35"/>
    <col min="4353" max="4353" width="75.5703125" style="35" bestFit="1" customWidth="1"/>
    <col min="4354" max="4354" width="16.85546875" style="35" bestFit="1" customWidth="1"/>
    <col min="4355" max="4355" width="40" style="35" customWidth="1"/>
    <col min="4356" max="4356" width="13.140625" style="35" bestFit="1" customWidth="1"/>
    <col min="4357" max="4357" width="44.5703125" style="35" bestFit="1" customWidth="1"/>
    <col min="4358" max="4608" width="9.140625" style="35"/>
    <col min="4609" max="4609" width="75.5703125" style="35" bestFit="1" customWidth="1"/>
    <col min="4610" max="4610" width="16.85546875" style="35" bestFit="1" customWidth="1"/>
    <col min="4611" max="4611" width="40" style="35" customWidth="1"/>
    <col min="4612" max="4612" width="13.140625" style="35" bestFit="1" customWidth="1"/>
    <col min="4613" max="4613" width="44.5703125" style="35" bestFit="1" customWidth="1"/>
    <col min="4614" max="4864" width="9.140625" style="35"/>
    <col min="4865" max="4865" width="75.5703125" style="35" bestFit="1" customWidth="1"/>
    <col min="4866" max="4866" width="16.85546875" style="35" bestFit="1" customWidth="1"/>
    <col min="4867" max="4867" width="40" style="35" customWidth="1"/>
    <col min="4868" max="4868" width="13.140625" style="35" bestFit="1" customWidth="1"/>
    <col min="4869" max="4869" width="44.5703125" style="35" bestFit="1" customWidth="1"/>
    <col min="4870" max="5120" width="9.140625" style="35"/>
    <col min="5121" max="5121" width="75.5703125" style="35" bestFit="1" customWidth="1"/>
    <col min="5122" max="5122" width="16.85546875" style="35" bestFit="1" customWidth="1"/>
    <col min="5123" max="5123" width="40" style="35" customWidth="1"/>
    <col min="5124" max="5124" width="13.140625" style="35" bestFit="1" customWidth="1"/>
    <col min="5125" max="5125" width="44.5703125" style="35" bestFit="1" customWidth="1"/>
    <col min="5126" max="5376" width="9.140625" style="35"/>
    <col min="5377" max="5377" width="75.5703125" style="35" bestFit="1" customWidth="1"/>
    <col min="5378" max="5378" width="16.85546875" style="35" bestFit="1" customWidth="1"/>
    <col min="5379" max="5379" width="40" style="35" customWidth="1"/>
    <col min="5380" max="5380" width="13.140625" style="35" bestFit="1" customWidth="1"/>
    <col min="5381" max="5381" width="44.5703125" style="35" bestFit="1" customWidth="1"/>
    <col min="5382" max="5632" width="9.140625" style="35"/>
    <col min="5633" max="5633" width="75.5703125" style="35" bestFit="1" customWidth="1"/>
    <col min="5634" max="5634" width="16.85546875" style="35" bestFit="1" customWidth="1"/>
    <col min="5635" max="5635" width="40" style="35" customWidth="1"/>
    <col min="5636" max="5636" width="13.140625" style="35" bestFit="1" customWidth="1"/>
    <col min="5637" max="5637" width="44.5703125" style="35" bestFit="1" customWidth="1"/>
    <col min="5638" max="5888" width="9.140625" style="35"/>
    <col min="5889" max="5889" width="75.5703125" style="35" bestFit="1" customWidth="1"/>
    <col min="5890" max="5890" width="16.85546875" style="35" bestFit="1" customWidth="1"/>
    <col min="5891" max="5891" width="40" style="35" customWidth="1"/>
    <col min="5892" max="5892" width="13.140625" style="35" bestFit="1" customWidth="1"/>
    <col min="5893" max="5893" width="44.5703125" style="35" bestFit="1" customWidth="1"/>
    <col min="5894" max="6144" width="9.140625" style="35"/>
    <col min="6145" max="6145" width="75.5703125" style="35" bestFit="1" customWidth="1"/>
    <col min="6146" max="6146" width="16.85546875" style="35" bestFit="1" customWidth="1"/>
    <col min="6147" max="6147" width="40" style="35" customWidth="1"/>
    <col min="6148" max="6148" width="13.140625" style="35" bestFit="1" customWidth="1"/>
    <col min="6149" max="6149" width="44.5703125" style="35" bestFit="1" customWidth="1"/>
    <col min="6150" max="6400" width="9.140625" style="35"/>
    <col min="6401" max="6401" width="75.5703125" style="35" bestFit="1" customWidth="1"/>
    <col min="6402" max="6402" width="16.85546875" style="35" bestFit="1" customWidth="1"/>
    <col min="6403" max="6403" width="40" style="35" customWidth="1"/>
    <col min="6404" max="6404" width="13.140625" style="35" bestFit="1" customWidth="1"/>
    <col min="6405" max="6405" width="44.5703125" style="35" bestFit="1" customWidth="1"/>
    <col min="6406" max="6656" width="9.140625" style="35"/>
    <col min="6657" max="6657" width="75.5703125" style="35" bestFit="1" customWidth="1"/>
    <col min="6658" max="6658" width="16.85546875" style="35" bestFit="1" customWidth="1"/>
    <col min="6659" max="6659" width="40" style="35" customWidth="1"/>
    <col min="6660" max="6660" width="13.140625" style="35" bestFit="1" customWidth="1"/>
    <col min="6661" max="6661" width="44.5703125" style="35" bestFit="1" customWidth="1"/>
    <col min="6662" max="6912" width="9.140625" style="35"/>
    <col min="6913" max="6913" width="75.5703125" style="35" bestFit="1" customWidth="1"/>
    <col min="6914" max="6914" width="16.85546875" style="35" bestFit="1" customWidth="1"/>
    <col min="6915" max="6915" width="40" style="35" customWidth="1"/>
    <col min="6916" max="6916" width="13.140625" style="35" bestFit="1" customWidth="1"/>
    <col min="6917" max="6917" width="44.5703125" style="35" bestFit="1" customWidth="1"/>
    <col min="6918" max="7168" width="9.140625" style="35"/>
    <col min="7169" max="7169" width="75.5703125" style="35" bestFit="1" customWidth="1"/>
    <col min="7170" max="7170" width="16.85546875" style="35" bestFit="1" customWidth="1"/>
    <col min="7171" max="7171" width="40" style="35" customWidth="1"/>
    <col min="7172" max="7172" width="13.140625" style="35" bestFit="1" customWidth="1"/>
    <col min="7173" max="7173" width="44.5703125" style="35" bestFit="1" customWidth="1"/>
    <col min="7174" max="7424" width="9.140625" style="35"/>
    <col min="7425" max="7425" width="75.5703125" style="35" bestFit="1" customWidth="1"/>
    <col min="7426" max="7426" width="16.85546875" style="35" bestFit="1" customWidth="1"/>
    <col min="7427" max="7427" width="40" style="35" customWidth="1"/>
    <col min="7428" max="7428" width="13.140625" style="35" bestFit="1" customWidth="1"/>
    <col min="7429" max="7429" width="44.5703125" style="35" bestFit="1" customWidth="1"/>
    <col min="7430" max="7680" width="9.140625" style="35"/>
    <col min="7681" max="7681" width="75.5703125" style="35" bestFit="1" customWidth="1"/>
    <col min="7682" max="7682" width="16.85546875" style="35" bestFit="1" customWidth="1"/>
    <col min="7683" max="7683" width="40" style="35" customWidth="1"/>
    <col min="7684" max="7684" width="13.140625" style="35" bestFit="1" customWidth="1"/>
    <col min="7685" max="7685" width="44.5703125" style="35" bestFit="1" customWidth="1"/>
    <col min="7686" max="7936" width="9.140625" style="35"/>
    <col min="7937" max="7937" width="75.5703125" style="35" bestFit="1" customWidth="1"/>
    <col min="7938" max="7938" width="16.85546875" style="35" bestFit="1" customWidth="1"/>
    <col min="7939" max="7939" width="40" style="35" customWidth="1"/>
    <col min="7940" max="7940" width="13.140625" style="35" bestFit="1" customWidth="1"/>
    <col min="7941" max="7941" width="44.5703125" style="35" bestFit="1" customWidth="1"/>
    <col min="7942" max="8192" width="9.140625" style="35"/>
    <col min="8193" max="8193" width="75.5703125" style="35" bestFit="1" customWidth="1"/>
    <col min="8194" max="8194" width="16.85546875" style="35" bestFit="1" customWidth="1"/>
    <col min="8195" max="8195" width="40" style="35" customWidth="1"/>
    <col min="8196" max="8196" width="13.140625" style="35" bestFit="1" customWidth="1"/>
    <col min="8197" max="8197" width="44.5703125" style="35" bestFit="1" customWidth="1"/>
    <col min="8198" max="8448" width="9.140625" style="35"/>
    <col min="8449" max="8449" width="75.5703125" style="35" bestFit="1" customWidth="1"/>
    <col min="8450" max="8450" width="16.85546875" style="35" bestFit="1" customWidth="1"/>
    <col min="8451" max="8451" width="40" style="35" customWidth="1"/>
    <col min="8452" max="8452" width="13.140625" style="35" bestFit="1" customWidth="1"/>
    <col min="8453" max="8453" width="44.5703125" style="35" bestFit="1" customWidth="1"/>
    <col min="8454" max="8704" width="9.140625" style="35"/>
    <col min="8705" max="8705" width="75.5703125" style="35" bestFit="1" customWidth="1"/>
    <col min="8706" max="8706" width="16.85546875" style="35" bestFit="1" customWidth="1"/>
    <col min="8707" max="8707" width="40" style="35" customWidth="1"/>
    <col min="8708" max="8708" width="13.140625" style="35" bestFit="1" customWidth="1"/>
    <col min="8709" max="8709" width="44.5703125" style="35" bestFit="1" customWidth="1"/>
    <col min="8710" max="8960" width="9.140625" style="35"/>
    <col min="8961" max="8961" width="75.5703125" style="35" bestFit="1" customWidth="1"/>
    <col min="8962" max="8962" width="16.85546875" style="35" bestFit="1" customWidth="1"/>
    <col min="8963" max="8963" width="40" style="35" customWidth="1"/>
    <col min="8964" max="8964" width="13.140625" style="35" bestFit="1" customWidth="1"/>
    <col min="8965" max="8965" width="44.5703125" style="35" bestFit="1" customWidth="1"/>
    <col min="8966" max="9216" width="9.140625" style="35"/>
    <col min="9217" max="9217" width="75.5703125" style="35" bestFit="1" customWidth="1"/>
    <col min="9218" max="9218" width="16.85546875" style="35" bestFit="1" customWidth="1"/>
    <col min="9219" max="9219" width="40" style="35" customWidth="1"/>
    <col min="9220" max="9220" width="13.140625" style="35" bestFit="1" customWidth="1"/>
    <col min="9221" max="9221" width="44.5703125" style="35" bestFit="1" customWidth="1"/>
    <col min="9222" max="9472" width="9.140625" style="35"/>
    <col min="9473" max="9473" width="75.5703125" style="35" bestFit="1" customWidth="1"/>
    <col min="9474" max="9474" width="16.85546875" style="35" bestFit="1" customWidth="1"/>
    <col min="9475" max="9475" width="40" style="35" customWidth="1"/>
    <col min="9476" max="9476" width="13.140625" style="35" bestFit="1" customWidth="1"/>
    <col min="9477" max="9477" width="44.5703125" style="35" bestFit="1" customWidth="1"/>
    <col min="9478" max="9728" width="9.140625" style="35"/>
    <col min="9729" max="9729" width="75.5703125" style="35" bestFit="1" customWidth="1"/>
    <col min="9730" max="9730" width="16.85546875" style="35" bestFit="1" customWidth="1"/>
    <col min="9731" max="9731" width="40" style="35" customWidth="1"/>
    <col min="9732" max="9732" width="13.140625" style="35" bestFit="1" customWidth="1"/>
    <col min="9733" max="9733" width="44.5703125" style="35" bestFit="1" customWidth="1"/>
    <col min="9734" max="9984" width="9.140625" style="35"/>
    <col min="9985" max="9985" width="75.5703125" style="35" bestFit="1" customWidth="1"/>
    <col min="9986" max="9986" width="16.85546875" style="35" bestFit="1" customWidth="1"/>
    <col min="9987" max="9987" width="40" style="35" customWidth="1"/>
    <col min="9988" max="9988" width="13.140625" style="35" bestFit="1" customWidth="1"/>
    <col min="9989" max="9989" width="44.5703125" style="35" bestFit="1" customWidth="1"/>
    <col min="9990" max="10240" width="9.140625" style="35"/>
    <col min="10241" max="10241" width="75.5703125" style="35" bestFit="1" customWidth="1"/>
    <col min="10242" max="10242" width="16.85546875" style="35" bestFit="1" customWidth="1"/>
    <col min="10243" max="10243" width="40" style="35" customWidth="1"/>
    <col min="10244" max="10244" width="13.140625" style="35" bestFit="1" customWidth="1"/>
    <col min="10245" max="10245" width="44.5703125" style="35" bestFit="1" customWidth="1"/>
    <col min="10246" max="10496" width="9.140625" style="35"/>
    <col min="10497" max="10497" width="75.5703125" style="35" bestFit="1" customWidth="1"/>
    <col min="10498" max="10498" width="16.85546875" style="35" bestFit="1" customWidth="1"/>
    <col min="10499" max="10499" width="40" style="35" customWidth="1"/>
    <col min="10500" max="10500" width="13.140625" style="35" bestFit="1" customWidth="1"/>
    <col min="10501" max="10501" width="44.5703125" style="35" bestFit="1" customWidth="1"/>
    <col min="10502" max="10752" width="9.140625" style="35"/>
    <col min="10753" max="10753" width="75.5703125" style="35" bestFit="1" customWidth="1"/>
    <col min="10754" max="10754" width="16.85546875" style="35" bestFit="1" customWidth="1"/>
    <col min="10755" max="10755" width="40" style="35" customWidth="1"/>
    <col min="10756" max="10756" width="13.140625" style="35" bestFit="1" customWidth="1"/>
    <col min="10757" max="10757" width="44.5703125" style="35" bestFit="1" customWidth="1"/>
    <col min="10758" max="11008" width="9.140625" style="35"/>
    <col min="11009" max="11009" width="75.5703125" style="35" bestFit="1" customWidth="1"/>
    <col min="11010" max="11010" width="16.85546875" style="35" bestFit="1" customWidth="1"/>
    <col min="11011" max="11011" width="40" style="35" customWidth="1"/>
    <col min="11012" max="11012" width="13.140625" style="35" bestFit="1" customWidth="1"/>
    <col min="11013" max="11013" width="44.5703125" style="35" bestFit="1" customWidth="1"/>
    <col min="11014" max="11264" width="9.140625" style="35"/>
    <col min="11265" max="11265" width="75.5703125" style="35" bestFit="1" customWidth="1"/>
    <col min="11266" max="11266" width="16.85546875" style="35" bestFit="1" customWidth="1"/>
    <col min="11267" max="11267" width="40" style="35" customWidth="1"/>
    <col min="11268" max="11268" width="13.140625" style="35" bestFit="1" customWidth="1"/>
    <col min="11269" max="11269" width="44.5703125" style="35" bestFit="1" customWidth="1"/>
    <col min="11270" max="11520" width="9.140625" style="35"/>
    <col min="11521" max="11521" width="75.5703125" style="35" bestFit="1" customWidth="1"/>
    <col min="11522" max="11522" width="16.85546875" style="35" bestFit="1" customWidth="1"/>
    <col min="11523" max="11523" width="40" style="35" customWidth="1"/>
    <col min="11524" max="11524" width="13.140625" style="35" bestFit="1" customWidth="1"/>
    <col min="11525" max="11525" width="44.5703125" style="35" bestFit="1" customWidth="1"/>
    <col min="11526" max="11776" width="9.140625" style="35"/>
    <col min="11777" max="11777" width="75.5703125" style="35" bestFit="1" customWidth="1"/>
    <col min="11778" max="11778" width="16.85546875" style="35" bestFit="1" customWidth="1"/>
    <col min="11779" max="11779" width="40" style="35" customWidth="1"/>
    <col min="11780" max="11780" width="13.140625" style="35" bestFit="1" customWidth="1"/>
    <col min="11781" max="11781" width="44.5703125" style="35" bestFit="1" customWidth="1"/>
    <col min="11782" max="12032" width="9.140625" style="35"/>
    <col min="12033" max="12033" width="75.5703125" style="35" bestFit="1" customWidth="1"/>
    <col min="12034" max="12034" width="16.85546875" style="35" bestFit="1" customWidth="1"/>
    <col min="12035" max="12035" width="40" style="35" customWidth="1"/>
    <col min="12036" max="12036" width="13.140625" style="35" bestFit="1" customWidth="1"/>
    <col min="12037" max="12037" width="44.5703125" style="35" bestFit="1" customWidth="1"/>
    <col min="12038" max="12288" width="9.140625" style="35"/>
    <col min="12289" max="12289" width="75.5703125" style="35" bestFit="1" customWidth="1"/>
    <col min="12290" max="12290" width="16.85546875" style="35" bestFit="1" customWidth="1"/>
    <col min="12291" max="12291" width="40" style="35" customWidth="1"/>
    <col min="12292" max="12292" width="13.140625" style="35" bestFit="1" customWidth="1"/>
    <col min="12293" max="12293" width="44.5703125" style="35" bestFit="1" customWidth="1"/>
    <col min="12294" max="12544" width="9.140625" style="35"/>
    <col min="12545" max="12545" width="75.5703125" style="35" bestFit="1" customWidth="1"/>
    <col min="12546" max="12546" width="16.85546875" style="35" bestFit="1" customWidth="1"/>
    <col min="12547" max="12547" width="40" style="35" customWidth="1"/>
    <col min="12548" max="12548" width="13.140625" style="35" bestFit="1" customWidth="1"/>
    <col min="12549" max="12549" width="44.5703125" style="35" bestFit="1" customWidth="1"/>
    <col min="12550" max="12800" width="9.140625" style="35"/>
    <col min="12801" max="12801" width="75.5703125" style="35" bestFit="1" customWidth="1"/>
    <col min="12802" max="12802" width="16.85546875" style="35" bestFit="1" customWidth="1"/>
    <col min="12803" max="12803" width="40" style="35" customWidth="1"/>
    <col min="12804" max="12804" width="13.140625" style="35" bestFit="1" customWidth="1"/>
    <col min="12805" max="12805" width="44.5703125" style="35" bestFit="1" customWidth="1"/>
    <col min="12806" max="13056" width="9.140625" style="35"/>
    <col min="13057" max="13057" width="75.5703125" style="35" bestFit="1" customWidth="1"/>
    <col min="13058" max="13058" width="16.85546875" style="35" bestFit="1" customWidth="1"/>
    <col min="13059" max="13059" width="40" style="35" customWidth="1"/>
    <col min="13060" max="13060" width="13.140625" style="35" bestFit="1" customWidth="1"/>
    <col min="13061" max="13061" width="44.5703125" style="35" bestFit="1" customWidth="1"/>
    <col min="13062" max="13312" width="9.140625" style="35"/>
    <col min="13313" max="13313" width="75.5703125" style="35" bestFit="1" customWidth="1"/>
    <col min="13314" max="13314" width="16.85546875" style="35" bestFit="1" customWidth="1"/>
    <col min="13315" max="13315" width="40" style="35" customWidth="1"/>
    <col min="13316" max="13316" width="13.140625" style="35" bestFit="1" customWidth="1"/>
    <col min="13317" max="13317" width="44.5703125" style="35" bestFit="1" customWidth="1"/>
    <col min="13318" max="13568" width="9.140625" style="35"/>
    <col min="13569" max="13569" width="75.5703125" style="35" bestFit="1" customWidth="1"/>
    <col min="13570" max="13570" width="16.85546875" style="35" bestFit="1" customWidth="1"/>
    <col min="13571" max="13571" width="40" style="35" customWidth="1"/>
    <col min="13572" max="13572" width="13.140625" style="35" bestFit="1" customWidth="1"/>
    <col min="13573" max="13573" width="44.5703125" style="35" bestFit="1" customWidth="1"/>
    <col min="13574" max="13824" width="9.140625" style="35"/>
    <col min="13825" max="13825" width="75.5703125" style="35" bestFit="1" customWidth="1"/>
    <col min="13826" max="13826" width="16.85546875" style="35" bestFit="1" customWidth="1"/>
    <col min="13827" max="13827" width="40" style="35" customWidth="1"/>
    <col min="13828" max="13828" width="13.140625" style="35" bestFit="1" customWidth="1"/>
    <col min="13829" max="13829" width="44.5703125" style="35" bestFit="1" customWidth="1"/>
    <col min="13830" max="14080" width="9.140625" style="35"/>
    <col min="14081" max="14081" width="75.5703125" style="35" bestFit="1" customWidth="1"/>
    <col min="14082" max="14082" width="16.85546875" style="35" bestFit="1" customWidth="1"/>
    <col min="14083" max="14083" width="40" style="35" customWidth="1"/>
    <col min="14084" max="14084" width="13.140625" style="35" bestFit="1" customWidth="1"/>
    <col min="14085" max="14085" width="44.5703125" style="35" bestFit="1" customWidth="1"/>
    <col min="14086" max="14336" width="9.140625" style="35"/>
    <col min="14337" max="14337" width="75.5703125" style="35" bestFit="1" customWidth="1"/>
    <col min="14338" max="14338" width="16.85546875" style="35" bestFit="1" customWidth="1"/>
    <col min="14339" max="14339" width="40" style="35" customWidth="1"/>
    <col min="14340" max="14340" width="13.140625" style="35" bestFit="1" customWidth="1"/>
    <col min="14341" max="14341" width="44.5703125" style="35" bestFit="1" customWidth="1"/>
    <col min="14342" max="14592" width="9.140625" style="35"/>
    <col min="14593" max="14593" width="75.5703125" style="35" bestFit="1" customWidth="1"/>
    <col min="14594" max="14594" width="16.85546875" style="35" bestFit="1" customWidth="1"/>
    <col min="14595" max="14595" width="40" style="35" customWidth="1"/>
    <col min="14596" max="14596" width="13.140625" style="35" bestFit="1" customWidth="1"/>
    <col min="14597" max="14597" width="44.5703125" style="35" bestFit="1" customWidth="1"/>
    <col min="14598" max="14848" width="9.140625" style="35"/>
    <col min="14849" max="14849" width="75.5703125" style="35" bestFit="1" customWidth="1"/>
    <col min="14850" max="14850" width="16.85546875" style="35" bestFit="1" customWidth="1"/>
    <col min="14851" max="14851" width="40" style="35" customWidth="1"/>
    <col min="14852" max="14852" width="13.140625" style="35" bestFit="1" customWidth="1"/>
    <col min="14853" max="14853" width="44.5703125" style="35" bestFit="1" customWidth="1"/>
    <col min="14854" max="15104" width="9.140625" style="35"/>
    <col min="15105" max="15105" width="75.5703125" style="35" bestFit="1" customWidth="1"/>
    <col min="15106" max="15106" width="16.85546875" style="35" bestFit="1" customWidth="1"/>
    <col min="15107" max="15107" width="40" style="35" customWidth="1"/>
    <col min="15108" max="15108" width="13.140625" style="35" bestFit="1" customWidth="1"/>
    <col min="15109" max="15109" width="44.5703125" style="35" bestFit="1" customWidth="1"/>
    <col min="15110" max="15360" width="9.140625" style="35"/>
    <col min="15361" max="15361" width="75.5703125" style="35" bestFit="1" customWidth="1"/>
    <col min="15362" max="15362" width="16.85546875" style="35" bestFit="1" customWidth="1"/>
    <col min="15363" max="15363" width="40" style="35" customWidth="1"/>
    <col min="15364" max="15364" width="13.140625" style="35" bestFit="1" customWidth="1"/>
    <col min="15365" max="15365" width="44.5703125" style="35" bestFit="1" customWidth="1"/>
    <col min="15366" max="15616" width="9.140625" style="35"/>
    <col min="15617" max="15617" width="75.5703125" style="35" bestFit="1" customWidth="1"/>
    <col min="15618" max="15618" width="16.85546875" style="35" bestFit="1" customWidth="1"/>
    <col min="15619" max="15619" width="40" style="35" customWidth="1"/>
    <col min="15620" max="15620" width="13.140625" style="35" bestFit="1" customWidth="1"/>
    <col min="15621" max="15621" width="44.5703125" style="35" bestFit="1" customWidth="1"/>
    <col min="15622" max="15872" width="9.140625" style="35"/>
    <col min="15873" max="15873" width="75.5703125" style="35" bestFit="1" customWidth="1"/>
    <col min="15874" max="15874" width="16.85546875" style="35" bestFit="1" customWidth="1"/>
    <col min="15875" max="15875" width="40" style="35" customWidth="1"/>
    <col min="15876" max="15876" width="13.140625" style="35" bestFit="1" customWidth="1"/>
    <col min="15877" max="15877" width="44.5703125" style="35" bestFit="1" customWidth="1"/>
    <col min="15878" max="16128" width="9.140625" style="35"/>
    <col min="16129" max="16129" width="75.5703125" style="35" bestFit="1" customWidth="1"/>
    <col min="16130" max="16130" width="16.85546875" style="35" bestFit="1" customWidth="1"/>
    <col min="16131" max="16131" width="40" style="35" customWidth="1"/>
    <col min="16132" max="16132" width="13.140625" style="35" bestFit="1" customWidth="1"/>
    <col min="16133" max="16133" width="44.5703125" style="35" bestFit="1" customWidth="1"/>
    <col min="16134" max="16384" width="9.140625" style="35"/>
  </cols>
  <sheetData>
    <row r="1" spans="1:5" ht="20.25" thickBot="1" x14ac:dyDescent="0.25">
      <c r="A1" s="192" t="s">
        <v>167</v>
      </c>
      <c r="B1" s="193"/>
      <c r="C1" s="193"/>
      <c r="D1" s="193"/>
      <c r="E1" s="194"/>
    </row>
    <row r="2" spans="1:5" ht="20.25" thickBot="1" x14ac:dyDescent="0.25">
      <c r="A2" s="38"/>
      <c r="B2" s="39"/>
      <c r="C2" s="39"/>
      <c r="D2" s="39"/>
      <c r="E2" s="40"/>
    </row>
    <row r="3" spans="1:5" ht="15.75" thickBot="1" x14ac:dyDescent="0.25">
      <c r="A3" s="195" t="s">
        <v>185</v>
      </c>
      <c r="B3" s="196"/>
      <c r="C3" s="196"/>
      <c r="D3" s="196"/>
      <c r="E3" s="197"/>
    </row>
    <row r="4" spans="1:5" ht="20.25" thickBot="1" x14ac:dyDescent="0.25">
      <c r="A4" s="41"/>
      <c r="B4" s="42"/>
      <c r="C4" s="42"/>
      <c r="D4" s="42"/>
      <c r="E4" s="43"/>
    </row>
    <row r="5" spans="1:5" x14ac:dyDescent="0.2">
      <c r="A5" s="44" t="s">
        <v>33</v>
      </c>
      <c r="B5" s="45" t="s">
        <v>34</v>
      </c>
      <c r="C5" s="45" t="s">
        <v>35</v>
      </c>
      <c r="D5" s="45" t="s">
        <v>36</v>
      </c>
      <c r="E5" s="46" t="s">
        <v>37</v>
      </c>
    </row>
    <row r="6" spans="1:5" ht="13.5" thickBot="1" x14ac:dyDescent="0.25">
      <c r="A6" s="47" t="s">
        <v>168</v>
      </c>
      <c r="B6" s="48" t="s">
        <v>34</v>
      </c>
      <c r="C6" s="48" t="s">
        <v>39</v>
      </c>
      <c r="D6" s="152">
        <v>1699.28</v>
      </c>
      <c r="E6" s="49" t="s">
        <v>34</v>
      </c>
    </row>
    <row r="7" spans="1:5" ht="13.5" thickBot="1" x14ac:dyDescent="0.25">
      <c r="A7" s="50"/>
      <c r="B7" s="17"/>
      <c r="C7" s="17"/>
      <c r="D7" s="17"/>
      <c r="E7" s="51"/>
    </row>
    <row r="8" spans="1:5" x14ac:dyDescent="0.2">
      <c r="A8" s="52" t="s">
        <v>40</v>
      </c>
      <c r="B8" s="45" t="s">
        <v>41</v>
      </c>
      <c r="C8" s="45" t="s">
        <v>35</v>
      </c>
      <c r="D8" s="45" t="s">
        <v>36</v>
      </c>
      <c r="E8" s="46" t="s">
        <v>37</v>
      </c>
    </row>
    <row r="9" spans="1:5" x14ac:dyDescent="0.2">
      <c r="A9" s="154" t="s">
        <v>42</v>
      </c>
      <c r="B9" s="54" t="s">
        <v>34</v>
      </c>
      <c r="C9" s="23" t="s">
        <v>34</v>
      </c>
      <c r="D9" s="55">
        <f>TRUNC(D6,2)</f>
        <v>1699.28</v>
      </c>
      <c r="E9" s="56" t="s">
        <v>34</v>
      </c>
    </row>
    <row r="10" spans="1:5" x14ac:dyDescent="0.2">
      <c r="A10" s="155" t="s">
        <v>43</v>
      </c>
      <c r="B10" s="54" t="s">
        <v>34</v>
      </c>
      <c r="C10" s="54" t="s">
        <v>44</v>
      </c>
      <c r="D10" s="153">
        <f>TRUNC(D9*10%,2)</f>
        <v>169.92</v>
      </c>
      <c r="E10" s="58" t="s">
        <v>45</v>
      </c>
    </row>
    <row r="11" spans="1:5" x14ac:dyDescent="0.2">
      <c r="A11" s="155" t="s">
        <v>46</v>
      </c>
      <c r="B11" s="54" t="s">
        <v>34</v>
      </c>
      <c r="C11" s="59" t="s">
        <v>47</v>
      </c>
      <c r="D11" s="153">
        <f>TRUNC((D9+D10)*30%,2)</f>
        <v>560.76</v>
      </c>
      <c r="E11" s="61" t="s">
        <v>34</v>
      </c>
    </row>
    <row r="12" spans="1:5" ht="13.5" thickBot="1" x14ac:dyDescent="0.25">
      <c r="A12" s="65" t="s">
        <v>52</v>
      </c>
      <c r="B12" s="66" t="s">
        <v>34</v>
      </c>
      <c r="C12" s="67" t="s">
        <v>53</v>
      </c>
      <c r="D12" s="68">
        <f>SUM(D9:D11)</f>
        <v>2429.96</v>
      </c>
      <c r="E12" s="69" t="s">
        <v>34</v>
      </c>
    </row>
    <row r="13" spans="1:5" ht="13.5" thickBot="1" x14ac:dyDescent="0.25">
      <c r="A13" s="50"/>
      <c r="B13" s="70"/>
      <c r="C13" s="27"/>
      <c r="D13" s="17"/>
      <c r="E13" s="51"/>
    </row>
    <row r="14" spans="1:5" x14ac:dyDescent="0.2">
      <c r="A14" s="52" t="s">
        <v>54</v>
      </c>
      <c r="B14" s="45" t="s">
        <v>202</v>
      </c>
      <c r="C14" s="45" t="s">
        <v>35</v>
      </c>
      <c r="D14" s="45" t="s">
        <v>36</v>
      </c>
      <c r="E14" s="46" t="s">
        <v>37</v>
      </c>
    </row>
    <row r="15" spans="1:5" x14ac:dyDescent="0.2">
      <c r="A15" s="71" t="s">
        <v>56</v>
      </c>
      <c r="B15" s="72"/>
      <c r="C15" s="73"/>
      <c r="D15" s="74"/>
      <c r="E15" s="75"/>
    </row>
    <row r="16" spans="1:5" x14ac:dyDescent="0.2">
      <c r="A16" s="154" t="s">
        <v>57</v>
      </c>
      <c r="B16" s="161">
        <v>0.2</v>
      </c>
      <c r="C16" s="23" t="s">
        <v>58</v>
      </c>
      <c r="D16" s="76">
        <f>TRUNC(B16*D12,2)</f>
        <v>485.99</v>
      </c>
      <c r="E16" s="77" t="s">
        <v>59</v>
      </c>
    </row>
    <row r="17" spans="1:5" x14ac:dyDescent="0.2">
      <c r="A17" s="154" t="s">
        <v>60</v>
      </c>
      <c r="B17" s="161">
        <v>0.08</v>
      </c>
      <c r="C17" s="23" t="s">
        <v>61</v>
      </c>
      <c r="D17" s="76">
        <f>TRUNC(B17*D12,2)</f>
        <v>194.39</v>
      </c>
      <c r="E17" s="77" t="s">
        <v>62</v>
      </c>
    </row>
    <row r="18" spans="1:5" x14ac:dyDescent="0.2">
      <c r="A18" s="154" t="s">
        <v>63</v>
      </c>
      <c r="B18" s="161">
        <v>1.4999999999999999E-2</v>
      </c>
      <c r="C18" s="23" t="s">
        <v>64</v>
      </c>
      <c r="D18" s="76">
        <f>TRUNC(B18*D12,2)</f>
        <v>36.44</v>
      </c>
      <c r="E18" s="77" t="s">
        <v>65</v>
      </c>
    </row>
    <row r="19" spans="1:5" x14ac:dyDescent="0.2">
      <c r="A19" s="154" t="s">
        <v>66</v>
      </c>
      <c r="B19" s="161">
        <v>0.01</v>
      </c>
      <c r="C19" s="23" t="s">
        <v>67</v>
      </c>
      <c r="D19" s="76">
        <f>TRUNC(B19*D12,2)</f>
        <v>24.29</v>
      </c>
      <c r="E19" s="77" t="s">
        <v>68</v>
      </c>
    </row>
    <row r="20" spans="1:5" x14ac:dyDescent="0.2">
      <c r="A20" s="154" t="s">
        <v>69</v>
      </c>
      <c r="B20" s="161">
        <v>2E-3</v>
      </c>
      <c r="C20" s="23" t="s">
        <v>70</v>
      </c>
      <c r="D20" s="76">
        <f>TRUNC(B20*D12,2)</f>
        <v>4.8499999999999996</v>
      </c>
      <c r="E20" s="77" t="s">
        <v>71</v>
      </c>
    </row>
    <row r="21" spans="1:5" x14ac:dyDescent="0.2">
      <c r="A21" s="154" t="s">
        <v>72</v>
      </c>
      <c r="B21" s="161">
        <v>6.0000000000000001E-3</v>
      </c>
      <c r="C21" s="23" t="s">
        <v>73</v>
      </c>
      <c r="D21" s="76">
        <f>TRUNC(B21*D12,2)</f>
        <v>14.57</v>
      </c>
      <c r="E21" s="77" t="s">
        <v>74</v>
      </c>
    </row>
    <row r="22" spans="1:5" x14ac:dyDescent="0.2">
      <c r="A22" s="154" t="s">
        <v>75</v>
      </c>
      <c r="B22" s="161">
        <v>2.5000000000000001E-2</v>
      </c>
      <c r="C22" s="23" t="s">
        <v>76</v>
      </c>
      <c r="D22" s="76">
        <f>TRUNC(B22*D12,2)</f>
        <v>60.74</v>
      </c>
      <c r="E22" s="77" t="s">
        <v>77</v>
      </c>
    </row>
    <row r="23" spans="1:5" x14ac:dyDescent="0.2">
      <c r="A23" s="156" t="s">
        <v>78</v>
      </c>
      <c r="B23" s="159">
        <f>'Quadro resumo'!C42</f>
        <v>0</v>
      </c>
      <c r="C23" s="23" t="s">
        <v>79</v>
      </c>
      <c r="D23" s="79">
        <f>TRUNC(B23*D12,2)</f>
        <v>0</v>
      </c>
      <c r="E23" s="77" t="s">
        <v>80</v>
      </c>
    </row>
    <row r="24" spans="1:5" ht="13.5" thickBot="1" x14ac:dyDescent="0.25">
      <c r="A24" s="65" t="s">
        <v>81</v>
      </c>
      <c r="B24" s="165">
        <f>SUM(B16:B23)</f>
        <v>0.33800000000000008</v>
      </c>
      <c r="C24" s="66" t="s">
        <v>53</v>
      </c>
      <c r="D24" s="81">
        <f>SUM(D16:D23)</f>
        <v>821.27</v>
      </c>
      <c r="E24" s="69" t="s">
        <v>34</v>
      </c>
    </row>
    <row r="25" spans="1:5" ht="13.5" thickBot="1" x14ac:dyDescent="0.25">
      <c r="A25" s="50"/>
      <c r="B25" s="17"/>
      <c r="C25" s="17"/>
      <c r="D25" s="17"/>
      <c r="E25" s="51"/>
    </row>
    <row r="26" spans="1:5" x14ac:dyDescent="0.2">
      <c r="A26" s="52" t="s">
        <v>82</v>
      </c>
      <c r="B26" s="45" t="s">
        <v>202</v>
      </c>
      <c r="C26" s="45" t="s">
        <v>35</v>
      </c>
      <c r="D26" s="45" t="s">
        <v>36</v>
      </c>
      <c r="E26" s="46" t="s">
        <v>37</v>
      </c>
    </row>
    <row r="27" spans="1:5" x14ac:dyDescent="0.2">
      <c r="A27" s="154" t="s">
        <v>83</v>
      </c>
      <c r="B27" s="164">
        <f>1/12</f>
        <v>8.3333333333333329E-2</v>
      </c>
      <c r="C27" s="23" t="s">
        <v>206</v>
      </c>
      <c r="D27" s="158">
        <f t="shared" ref="D27:D34" si="0">TRUNC((B27)*$D$12,2)</f>
        <v>202.49</v>
      </c>
      <c r="E27" s="77" t="s">
        <v>84</v>
      </c>
    </row>
    <row r="28" spans="1:5" x14ac:dyDescent="0.2">
      <c r="A28" s="154" t="s">
        <v>85</v>
      </c>
      <c r="B28" s="161">
        <f>((1+1/3)/12)</f>
        <v>0.1111111111111111</v>
      </c>
      <c r="C28" s="23" t="s">
        <v>207</v>
      </c>
      <c r="D28" s="158">
        <f t="shared" si="0"/>
        <v>269.99</v>
      </c>
      <c r="E28" s="77" t="s">
        <v>86</v>
      </c>
    </row>
    <row r="29" spans="1:5" x14ac:dyDescent="0.2">
      <c r="A29" s="53" t="s">
        <v>87</v>
      </c>
      <c r="B29" s="161">
        <f>((7/30)/12)</f>
        <v>1.9444444444444445E-2</v>
      </c>
      <c r="C29" s="23" t="s">
        <v>208</v>
      </c>
      <c r="D29" s="158">
        <f t="shared" si="0"/>
        <v>47.24</v>
      </c>
      <c r="E29" s="77" t="s">
        <v>88</v>
      </c>
    </row>
    <row r="30" spans="1:5" x14ac:dyDescent="0.2">
      <c r="A30" s="53" t="s">
        <v>89</v>
      </c>
      <c r="B30" s="161">
        <f>((5/30)/12)</f>
        <v>1.3888888888888888E-2</v>
      </c>
      <c r="C30" s="23" t="s">
        <v>209</v>
      </c>
      <c r="D30" s="79">
        <f t="shared" si="0"/>
        <v>33.74</v>
      </c>
      <c r="E30" s="77" t="s">
        <v>90</v>
      </c>
    </row>
    <row r="31" spans="1:5" x14ac:dyDescent="0.2">
      <c r="A31" s="53" t="s">
        <v>91</v>
      </c>
      <c r="B31" s="161">
        <f>((15/30)/12)*1%</f>
        <v>4.1666666666666664E-4</v>
      </c>
      <c r="C31" s="23" t="s">
        <v>211</v>
      </c>
      <c r="D31" s="79">
        <f t="shared" si="0"/>
        <v>1.01</v>
      </c>
      <c r="E31" s="77" t="s">
        <v>92</v>
      </c>
    </row>
    <row r="32" spans="1:5" x14ac:dyDescent="0.2">
      <c r="A32" s="53" t="s">
        <v>93</v>
      </c>
      <c r="B32" s="161">
        <f>(1/30)/12</f>
        <v>2.7777777777777779E-3</v>
      </c>
      <c r="C32" s="82" t="s">
        <v>210</v>
      </c>
      <c r="D32" s="79">
        <f t="shared" si="0"/>
        <v>6.74</v>
      </c>
      <c r="E32" s="77" t="s">
        <v>94</v>
      </c>
    </row>
    <row r="33" spans="1:5" ht="25.5" x14ac:dyDescent="0.2">
      <c r="A33" s="53" t="s">
        <v>95</v>
      </c>
      <c r="B33" s="161">
        <f>((1+1/3)/12)*2%*(4/12)</f>
        <v>7.407407407407407E-4</v>
      </c>
      <c r="C33" s="63" t="s">
        <v>240</v>
      </c>
      <c r="D33" s="79">
        <f t="shared" si="0"/>
        <v>1.79</v>
      </c>
      <c r="E33" s="83" t="s">
        <v>96</v>
      </c>
    </row>
    <row r="34" spans="1:5" ht="14.25" x14ac:dyDescent="0.2">
      <c r="A34" s="53" t="s">
        <v>97</v>
      </c>
      <c r="B34" s="161">
        <f>((5/30)/12)*1.5%</f>
        <v>2.0833333333333332E-4</v>
      </c>
      <c r="C34" s="23" t="s">
        <v>214</v>
      </c>
      <c r="D34" s="79">
        <f t="shared" si="0"/>
        <v>0.5</v>
      </c>
      <c r="E34" s="77" t="s">
        <v>98</v>
      </c>
    </row>
    <row r="35" spans="1:5" ht="13.5" thickBot="1" x14ac:dyDescent="0.25">
      <c r="A35" s="65" t="s">
        <v>99</v>
      </c>
      <c r="B35" s="165">
        <f>SUM(B27:B34)</f>
        <v>0.23192129629629626</v>
      </c>
      <c r="C35" s="66" t="s">
        <v>53</v>
      </c>
      <c r="D35" s="67">
        <f>SUM(D27:D34)</f>
        <v>563.5</v>
      </c>
      <c r="E35" s="69" t="s">
        <v>34</v>
      </c>
    </row>
    <row r="36" spans="1:5" ht="14.25" x14ac:dyDescent="0.2">
      <c r="A36" s="50" t="s">
        <v>100</v>
      </c>
      <c r="B36" s="17"/>
      <c r="C36" s="17" t="s">
        <v>101</v>
      </c>
      <c r="D36" s="17"/>
      <c r="E36" s="51"/>
    </row>
    <row r="37" spans="1:5" ht="14.25" x14ac:dyDescent="0.2">
      <c r="A37" s="50" t="s">
        <v>102</v>
      </c>
      <c r="B37" s="17"/>
      <c r="C37" s="17" t="s">
        <v>241</v>
      </c>
      <c r="D37" s="84"/>
      <c r="E37" s="51"/>
    </row>
    <row r="38" spans="1:5" ht="15" thickBot="1" x14ac:dyDescent="0.25">
      <c r="A38" s="50" t="s">
        <v>103</v>
      </c>
      <c r="B38" s="17"/>
      <c r="C38" s="17" t="s">
        <v>104</v>
      </c>
      <c r="D38" s="84"/>
      <c r="E38" s="51"/>
    </row>
    <row r="39" spans="1:5" x14ac:dyDescent="0.2">
      <c r="A39" s="52" t="s">
        <v>105</v>
      </c>
      <c r="B39" s="45" t="s">
        <v>202</v>
      </c>
      <c r="C39" s="45" t="s">
        <v>35</v>
      </c>
      <c r="D39" s="45" t="s">
        <v>36</v>
      </c>
      <c r="E39" s="46" t="s">
        <v>37</v>
      </c>
    </row>
    <row r="40" spans="1:5" x14ac:dyDescent="0.2">
      <c r="A40" s="53" t="s">
        <v>106</v>
      </c>
      <c r="B40" s="164">
        <f>25%*(1/12)</f>
        <v>2.0833333333333332E-2</v>
      </c>
      <c r="C40" s="23" t="s">
        <v>215</v>
      </c>
      <c r="D40" s="79">
        <f>TRUNC(B40*$D$12,2)</f>
        <v>50.62</v>
      </c>
      <c r="E40" s="77" t="s">
        <v>107</v>
      </c>
    </row>
    <row r="41" spans="1:5" x14ac:dyDescent="0.2">
      <c r="A41" s="53" t="s">
        <v>108</v>
      </c>
      <c r="B41" s="161">
        <f>25%*(1/12)</f>
        <v>2.0833333333333332E-2</v>
      </c>
      <c r="C41" s="23" t="s">
        <v>215</v>
      </c>
      <c r="D41" s="79">
        <f>TRUNC(B41*$D$12,2)</f>
        <v>50.62</v>
      </c>
      <c r="E41" s="77" t="s">
        <v>109</v>
      </c>
    </row>
    <row r="42" spans="1:5" x14ac:dyDescent="0.2">
      <c r="A42" s="53" t="s">
        <v>110</v>
      </c>
      <c r="B42" s="161">
        <f>40%*8%</f>
        <v>3.2000000000000001E-2</v>
      </c>
      <c r="C42" s="23" t="s">
        <v>212</v>
      </c>
      <c r="D42" s="79">
        <f>TRUNC(B42*$D$12,2)</f>
        <v>77.75</v>
      </c>
      <c r="E42" s="77" t="s">
        <v>111</v>
      </c>
    </row>
    <row r="43" spans="1:5" ht="14.25" x14ac:dyDescent="0.2">
      <c r="A43" s="53" t="s">
        <v>112</v>
      </c>
      <c r="B43" s="161">
        <f>10%*8%</f>
        <v>8.0000000000000002E-3</v>
      </c>
      <c r="C43" s="23" t="s">
        <v>213</v>
      </c>
      <c r="D43" s="79">
        <f>TRUNC(B43*$D$12,2)</f>
        <v>19.43</v>
      </c>
      <c r="E43" s="77" t="s">
        <v>113</v>
      </c>
    </row>
    <row r="44" spans="1:5" ht="13.5" thickBot="1" x14ac:dyDescent="0.25">
      <c r="A44" s="65" t="s">
        <v>114</v>
      </c>
      <c r="B44" s="165">
        <f>SUM(B40:B43)</f>
        <v>8.1666666666666665E-2</v>
      </c>
      <c r="C44" s="66" t="s">
        <v>53</v>
      </c>
      <c r="D44" s="67">
        <f>SUM(D40:D43)</f>
        <v>198.42000000000002</v>
      </c>
      <c r="E44" s="69" t="s">
        <v>34</v>
      </c>
    </row>
    <row r="45" spans="1:5" x14ac:dyDescent="0.2">
      <c r="A45" s="50" t="s">
        <v>115</v>
      </c>
      <c r="B45" s="17"/>
      <c r="C45" s="17" t="s">
        <v>116</v>
      </c>
      <c r="D45" s="17"/>
      <c r="E45" s="51"/>
    </row>
    <row r="46" spans="1:5" ht="27" customHeight="1" thickBot="1" x14ac:dyDescent="0.25">
      <c r="A46" s="198" t="s">
        <v>117</v>
      </c>
      <c r="B46" s="199"/>
      <c r="C46" s="17" t="s">
        <v>118</v>
      </c>
      <c r="D46" s="85"/>
      <c r="E46" s="86"/>
    </row>
    <row r="47" spans="1:5" x14ac:dyDescent="0.2">
      <c r="A47" s="52" t="s">
        <v>119</v>
      </c>
      <c r="B47" s="45" t="s">
        <v>202</v>
      </c>
      <c r="C47" s="45" t="s">
        <v>35</v>
      </c>
      <c r="D47" s="45" t="s">
        <v>36</v>
      </c>
      <c r="E47" s="46" t="s">
        <v>37</v>
      </c>
    </row>
    <row r="48" spans="1:5" x14ac:dyDescent="0.2">
      <c r="A48" s="53" t="s">
        <v>120</v>
      </c>
      <c r="B48" s="164">
        <f>B24*B35</f>
        <v>7.8389398148148159E-2</v>
      </c>
      <c r="C48" s="23" t="s">
        <v>205</v>
      </c>
      <c r="D48" s="79">
        <f>TRUNC(B48*$D$12,2)</f>
        <v>190.48</v>
      </c>
      <c r="E48" s="56" t="s">
        <v>34</v>
      </c>
    </row>
    <row r="49" spans="1:5" ht="13.5" thickBot="1" x14ac:dyDescent="0.25">
      <c r="A49" s="65" t="s">
        <v>122</v>
      </c>
      <c r="B49" s="165">
        <f>B48</f>
        <v>7.8389398148148159E-2</v>
      </c>
      <c r="C49" s="66" t="s">
        <v>53</v>
      </c>
      <c r="D49" s="67">
        <f>D48</f>
        <v>190.48</v>
      </c>
      <c r="E49" s="69" t="s">
        <v>34</v>
      </c>
    </row>
    <row r="50" spans="1:5" ht="13.5" thickBot="1" x14ac:dyDescent="0.25">
      <c r="A50" s="50"/>
      <c r="B50" s="17"/>
      <c r="C50" s="17"/>
      <c r="D50" s="17"/>
      <c r="E50" s="51"/>
    </row>
    <row r="51" spans="1:5" x14ac:dyDescent="0.2">
      <c r="A51" s="52" t="s">
        <v>123</v>
      </c>
      <c r="B51" s="45" t="s">
        <v>202</v>
      </c>
      <c r="C51" s="45" t="s">
        <v>35</v>
      </c>
      <c r="D51" s="45" t="s">
        <v>36</v>
      </c>
      <c r="E51" s="46" t="s">
        <v>37</v>
      </c>
    </row>
    <row r="52" spans="1:5" x14ac:dyDescent="0.2">
      <c r="A52" s="87" t="s">
        <v>125</v>
      </c>
      <c r="B52" s="162">
        <f>B17*B40</f>
        <v>1.6666666666666666E-3</v>
      </c>
      <c r="C52" s="23" t="s">
        <v>126</v>
      </c>
      <c r="D52" s="79">
        <f>TRUNC(B52*$D$12,2)</f>
        <v>4.04</v>
      </c>
      <c r="E52" s="77" t="s">
        <v>127</v>
      </c>
    </row>
    <row r="53" spans="1:5" ht="25.5" x14ac:dyDescent="0.2">
      <c r="A53" s="78" t="s">
        <v>128</v>
      </c>
      <c r="B53" s="161">
        <f>B17*B31</f>
        <v>3.3333333333333335E-5</v>
      </c>
      <c r="C53" s="23" t="s">
        <v>129</v>
      </c>
      <c r="D53" s="79">
        <f>TRUNC(B53*$D$12,2)</f>
        <v>0.08</v>
      </c>
      <c r="E53" s="56" t="s">
        <v>34</v>
      </c>
    </row>
    <row r="54" spans="1:5" ht="13.5" thickBot="1" x14ac:dyDescent="0.25">
      <c r="A54" s="65" t="s">
        <v>130</v>
      </c>
      <c r="B54" s="80">
        <f>SUM(B52:B53)</f>
        <v>1.6999999999999999E-3</v>
      </c>
      <c r="C54" s="66" t="s">
        <v>53</v>
      </c>
      <c r="D54" s="81">
        <f>SUM(D52:D53)</f>
        <v>4.12</v>
      </c>
      <c r="E54" s="69" t="s">
        <v>34</v>
      </c>
    </row>
    <row r="55" spans="1:5" ht="27" customHeight="1" thickBot="1" x14ac:dyDescent="0.25">
      <c r="A55" s="200" t="s">
        <v>131</v>
      </c>
      <c r="B55" s="201"/>
      <c r="C55" s="201"/>
      <c r="D55" s="201"/>
      <c r="E55" s="202"/>
    </row>
    <row r="56" spans="1:5" x14ac:dyDescent="0.2">
      <c r="A56" s="52" t="s">
        <v>132</v>
      </c>
      <c r="B56" s="45" t="s">
        <v>202</v>
      </c>
      <c r="C56" s="45" t="s">
        <v>35</v>
      </c>
      <c r="D56" s="45" t="s">
        <v>36</v>
      </c>
      <c r="E56" s="46" t="s">
        <v>37</v>
      </c>
    </row>
    <row r="57" spans="1:5" ht="25.5" x14ac:dyDescent="0.2">
      <c r="A57" s="78" t="s">
        <v>133</v>
      </c>
      <c r="B57" s="88">
        <f>B24*(13/12)*(4/12)*1.5%</f>
        <v>1.8308333333333336E-3</v>
      </c>
      <c r="C57" s="88" t="s">
        <v>244</v>
      </c>
      <c r="D57" s="79">
        <f>TRUNC(B57*$D$12,2)</f>
        <v>4.4400000000000004</v>
      </c>
      <c r="E57" s="83" t="s">
        <v>242</v>
      </c>
    </row>
    <row r="58" spans="1:5" ht="13.5" thickBot="1" x14ac:dyDescent="0.25">
      <c r="A58" s="65" t="s">
        <v>134</v>
      </c>
      <c r="B58" s="165">
        <f>B57</f>
        <v>1.8308333333333336E-3</v>
      </c>
      <c r="C58" s="66" t="s">
        <v>53</v>
      </c>
      <c r="D58" s="67">
        <f>D57</f>
        <v>4.4400000000000004</v>
      </c>
      <c r="E58" s="69" t="s">
        <v>34</v>
      </c>
    </row>
    <row r="59" spans="1:5" ht="13.5" thickBot="1" x14ac:dyDescent="0.25">
      <c r="A59" s="50"/>
      <c r="B59" s="17"/>
      <c r="C59" s="17"/>
      <c r="D59" s="17"/>
      <c r="E59" s="51"/>
    </row>
    <row r="60" spans="1:5" ht="13.5" thickBot="1" x14ac:dyDescent="0.25">
      <c r="A60" s="89" t="s">
        <v>135</v>
      </c>
      <c r="B60" s="166">
        <f>B24+B35+B44+B49+B54+B58</f>
        <v>0.73350819444444448</v>
      </c>
      <c r="C60" s="91" t="s">
        <v>53</v>
      </c>
      <c r="D60" s="92">
        <f>SUM(D24,D35,D44,D49,D54,D58)</f>
        <v>1782.23</v>
      </c>
      <c r="E60" s="93" t="s">
        <v>34</v>
      </c>
    </row>
    <row r="61" spans="1:5" ht="13.5" thickBot="1" x14ac:dyDescent="0.25">
      <c r="A61" s="50"/>
      <c r="B61" s="17"/>
      <c r="C61" s="17"/>
      <c r="D61" s="94"/>
      <c r="E61" s="51"/>
    </row>
    <row r="62" spans="1:5" x14ac:dyDescent="0.2">
      <c r="A62" s="52" t="s">
        <v>136</v>
      </c>
      <c r="B62" s="45" t="s">
        <v>36</v>
      </c>
      <c r="C62" s="45" t="s">
        <v>35</v>
      </c>
      <c r="D62" s="45" t="s">
        <v>36</v>
      </c>
      <c r="E62" s="46" t="s">
        <v>37</v>
      </c>
    </row>
    <row r="63" spans="1:5" x14ac:dyDescent="0.2">
      <c r="A63" s="154" t="s">
        <v>137</v>
      </c>
      <c r="B63" s="95">
        <f>ROUNDUP('Quadro resumo'!$C$27/12,2)</f>
        <v>0</v>
      </c>
      <c r="C63" s="96" t="s">
        <v>138</v>
      </c>
      <c r="D63" s="55">
        <f>TRUNC(B63,2)</f>
        <v>0</v>
      </c>
      <c r="E63" s="77" t="s">
        <v>139</v>
      </c>
    </row>
    <row r="64" spans="1:5" x14ac:dyDescent="0.2">
      <c r="A64" s="154" t="s">
        <v>140</v>
      </c>
      <c r="B64" s="97">
        <f>ROUNDUP(('Quadro resumo'!E22/12)/14,2)</f>
        <v>0</v>
      </c>
      <c r="C64" s="96" t="s">
        <v>226</v>
      </c>
      <c r="D64" s="55">
        <f>B64</f>
        <v>0</v>
      </c>
      <c r="E64" s="77" t="s">
        <v>139</v>
      </c>
    </row>
    <row r="65" spans="1:5" ht="25.5" x14ac:dyDescent="0.2">
      <c r="A65" s="154" t="s">
        <v>141</v>
      </c>
      <c r="B65" s="97">
        <f>TRUNC(19*15,2)</f>
        <v>285</v>
      </c>
      <c r="C65" s="96" t="s">
        <v>230</v>
      </c>
      <c r="D65" s="55">
        <f>B65</f>
        <v>285</v>
      </c>
      <c r="E65" s="64" t="s">
        <v>229</v>
      </c>
    </row>
    <row r="66" spans="1:5" ht="25.5" customHeight="1" x14ac:dyDescent="0.2">
      <c r="A66" s="154" t="s">
        <v>142</v>
      </c>
      <c r="B66" s="97">
        <f>TRUNC(4.5*15*4,2)</f>
        <v>270</v>
      </c>
      <c r="C66" s="96" t="s">
        <v>231</v>
      </c>
      <c r="D66" s="55">
        <f t="shared" ref="D66:D73" si="1">B66</f>
        <v>270</v>
      </c>
      <c r="E66" s="64" t="s">
        <v>232</v>
      </c>
    </row>
    <row r="67" spans="1:5" x14ac:dyDescent="0.2">
      <c r="A67" s="169" t="s">
        <v>143</v>
      </c>
      <c r="B67" s="99">
        <f>'Quadro resumo'!C34*3</f>
        <v>0</v>
      </c>
      <c r="C67" s="23" t="str">
        <f>'Quadro resumo'!C33 &amp;" * 3"</f>
        <v>Valor * 3</v>
      </c>
      <c r="D67" s="100">
        <f>B67</f>
        <v>0</v>
      </c>
      <c r="E67" s="64" t="s">
        <v>221</v>
      </c>
    </row>
    <row r="68" spans="1:5" x14ac:dyDescent="0.2">
      <c r="A68" s="170" t="s">
        <v>184</v>
      </c>
      <c r="B68" s="99">
        <f>ROUNDUP(('Quadro resumo'!C35*3)/12,2)</f>
        <v>0</v>
      </c>
      <c r="C68" s="54" t="str">
        <f>"Valor * 3 / 12"</f>
        <v>Valor * 3 / 12</v>
      </c>
      <c r="D68" s="100">
        <f>B68</f>
        <v>0</v>
      </c>
      <c r="E68" s="64" t="s">
        <v>221</v>
      </c>
    </row>
    <row r="69" spans="1:5" x14ac:dyDescent="0.2">
      <c r="A69" s="155" t="s">
        <v>189</v>
      </c>
      <c r="B69" s="143">
        <v>14.48</v>
      </c>
      <c r="C69" s="54" t="s">
        <v>34</v>
      </c>
      <c r="D69" s="150">
        <f>B69</f>
        <v>14.48</v>
      </c>
      <c r="E69" s="64" t="s">
        <v>190</v>
      </c>
    </row>
    <row r="70" spans="1:5" x14ac:dyDescent="0.2">
      <c r="A70" s="154" t="s">
        <v>20</v>
      </c>
      <c r="B70" s="122">
        <f>ROUNDUP('Quadro resumo'!$C$28/12,2)</f>
        <v>0</v>
      </c>
      <c r="C70" s="23"/>
      <c r="D70" s="100">
        <f>TRUNC(B70,2)</f>
        <v>0</v>
      </c>
      <c r="E70" s="64" t="s">
        <v>191</v>
      </c>
    </row>
    <row r="71" spans="1:5" x14ac:dyDescent="0.2">
      <c r="A71" s="154" t="s">
        <v>144</v>
      </c>
      <c r="B71" s="101">
        <v>119.69</v>
      </c>
      <c r="C71" s="102" t="s">
        <v>34</v>
      </c>
      <c r="D71" s="100">
        <f>TRUNC(B71,2)</f>
        <v>119.69</v>
      </c>
      <c r="E71" s="64" t="s">
        <v>192</v>
      </c>
    </row>
    <row r="72" spans="1:5" ht="12.75" customHeight="1" x14ac:dyDescent="0.2">
      <c r="A72" s="154" t="s">
        <v>145</v>
      </c>
      <c r="B72" s="101">
        <v>4</v>
      </c>
      <c r="C72" s="102" t="s">
        <v>34</v>
      </c>
      <c r="D72" s="100">
        <f>TRUNC(B72,2)</f>
        <v>4</v>
      </c>
      <c r="E72" s="64" t="s">
        <v>246</v>
      </c>
    </row>
    <row r="73" spans="1:5" x14ac:dyDescent="0.2">
      <c r="A73" s="156" t="s">
        <v>146</v>
      </c>
      <c r="B73" s="98">
        <f>IF(B66&gt;=TRUNC(0.06*D9,2),TRUNC(-0.06*D9,2),-B66)</f>
        <v>-101.95</v>
      </c>
      <c r="C73" s="23" t="s">
        <v>147</v>
      </c>
      <c r="D73" s="76">
        <f t="shared" si="1"/>
        <v>-101.95</v>
      </c>
      <c r="E73" s="103" t="s">
        <v>148</v>
      </c>
    </row>
    <row r="74" spans="1:5" ht="25.5" customHeight="1" x14ac:dyDescent="0.2">
      <c r="A74" s="157" t="s">
        <v>188</v>
      </c>
      <c r="B74" s="104">
        <f>ROUNDUP('Quadro resumo'!C29/12,2)</f>
        <v>0</v>
      </c>
      <c r="C74" s="54" t="s">
        <v>149</v>
      </c>
      <c r="D74" s="60">
        <f>B74</f>
        <v>0</v>
      </c>
      <c r="E74" s="62" t="s">
        <v>150</v>
      </c>
    </row>
    <row r="75" spans="1:5" ht="25.5" customHeight="1" x14ac:dyDescent="0.2">
      <c r="A75" s="157" t="s">
        <v>179</v>
      </c>
      <c r="B75" s="104">
        <f>TRUNC('Quadro resumo'!C39,2)</f>
        <v>0</v>
      </c>
      <c r="C75" s="54" t="s">
        <v>149</v>
      </c>
      <c r="D75" s="60">
        <f>B75</f>
        <v>0</v>
      </c>
      <c r="E75" s="62" t="s">
        <v>180</v>
      </c>
    </row>
    <row r="76" spans="1:5" ht="13.5" thickBot="1" x14ac:dyDescent="0.25">
      <c r="A76" s="65" t="s">
        <v>151</v>
      </c>
      <c r="B76" s="80" t="s">
        <v>34</v>
      </c>
      <c r="C76" s="66" t="s">
        <v>53</v>
      </c>
      <c r="D76" s="67">
        <f>SUM(D63:D75)</f>
        <v>591.22</v>
      </c>
      <c r="E76" s="69" t="s">
        <v>34</v>
      </c>
    </row>
    <row r="77" spans="1:5" ht="13.5" thickBot="1" x14ac:dyDescent="0.25">
      <c r="A77" s="105"/>
      <c r="B77" s="106"/>
      <c r="C77" s="106"/>
      <c r="D77" s="106"/>
      <c r="E77" s="107"/>
    </row>
    <row r="78" spans="1:5" ht="12.75" customHeight="1" thickBot="1" x14ac:dyDescent="0.25">
      <c r="A78" s="108" t="s">
        <v>152</v>
      </c>
      <c r="B78" s="90" t="s">
        <v>34</v>
      </c>
      <c r="C78" s="90" t="s">
        <v>153</v>
      </c>
      <c r="D78" s="109">
        <f>SUM(D12,D60,D76)</f>
        <v>4803.4100000000008</v>
      </c>
      <c r="E78" s="93" t="s">
        <v>34</v>
      </c>
    </row>
    <row r="79" spans="1:5" ht="13.5" thickBot="1" x14ac:dyDescent="0.25">
      <c r="A79" s="110"/>
      <c r="B79" s="111"/>
      <c r="C79" s="111"/>
      <c r="D79" s="111"/>
      <c r="E79" s="112"/>
    </row>
    <row r="80" spans="1:5" x14ac:dyDescent="0.2">
      <c r="A80" s="52" t="s">
        <v>154</v>
      </c>
      <c r="B80" s="45" t="s">
        <v>202</v>
      </c>
      <c r="C80" s="45" t="s">
        <v>35</v>
      </c>
      <c r="D80" s="45" t="s">
        <v>36</v>
      </c>
      <c r="E80" s="46" t="s">
        <v>37</v>
      </c>
    </row>
    <row r="81" spans="1:5" ht="12.75" customHeight="1" x14ac:dyDescent="0.2">
      <c r="A81" s="53" t="s">
        <v>26</v>
      </c>
      <c r="B81" s="159">
        <f>'Quadro resumo'!C45</f>
        <v>0</v>
      </c>
      <c r="C81" s="189" t="s">
        <v>155</v>
      </c>
      <c r="D81" s="98">
        <f>TRUNC(B81*$D$78,2)</f>
        <v>0</v>
      </c>
      <c r="E81" s="113" t="s">
        <v>34</v>
      </c>
    </row>
    <row r="82" spans="1:5" x14ac:dyDescent="0.2">
      <c r="A82" s="53" t="s">
        <v>27</v>
      </c>
      <c r="B82" s="159">
        <f>'Quadro resumo'!C46</f>
        <v>0</v>
      </c>
      <c r="C82" s="203"/>
      <c r="D82" s="98">
        <f>TRUNC(B82*$D$78,2)</f>
        <v>0</v>
      </c>
      <c r="E82" s="113" t="s">
        <v>34</v>
      </c>
    </row>
    <row r="83" spans="1:5" ht="13.5" thickBot="1" x14ac:dyDescent="0.25">
      <c r="A83" s="65" t="s">
        <v>156</v>
      </c>
      <c r="B83" s="165">
        <f>SUM(B81:B82)</f>
        <v>0</v>
      </c>
      <c r="C83" s="66" t="s">
        <v>53</v>
      </c>
      <c r="D83" s="67">
        <f>SUM(D81:D82)</f>
        <v>0</v>
      </c>
      <c r="E83" s="69" t="s">
        <v>34</v>
      </c>
    </row>
    <row r="84" spans="1:5" ht="13.5" thickBot="1" x14ac:dyDescent="0.25">
      <c r="A84" s="114"/>
      <c r="B84" s="17"/>
      <c r="C84" s="17"/>
      <c r="D84" s="17"/>
      <c r="E84" s="51"/>
    </row>
    <row r="85" spans="1:5" x14ac:dyDescent="0.2">
      <c r="A85" s="115" t="s">
        <v>157</v>
      </c>
      <c r="B85" s="45" t="s">
        <v>202</v>
      </c>
      <c r="C85" s="45" t="s">
        <v>35</v>
      </c>
      <c r="D85" s="45" t="s">
        <v>36</v>
      </c>
      <c r="E85" s="46" t="s">
        <v>37</v>
      </c>
    </row>
    <row r="86" spans="1:5" x14ac:dyDescent="0.2">
      <c r="A86" s="53" t="s">
        <v>29</v>
      </c>
      <c r="B86" s="159">
        <f>'Quadro resumo'!C52</f>
        <v>0</v>
      </c>
      <c r="C86" s="189" t="s">
        <v>158</v>
      </c>
      <c r="D86" s="79">
        <f>TRUNC((($D$78+$D$83)/(1-(($B$86+$B$87+$B$88))))*(B86),2)</f>
        <v>0</v>
      </c>
      <c r="E86" s="113" t="s">
        <v>34</v>
      </c>
    </row>
    <row r="87" spans="1:5" x14ac:dyDescent="0.2">
      <c r="A87" s="53" t="s">
        <v>30</v>
      </c>
      <c r="B87" s="159">
        <f>'Quadro resumo'!C53</f>
        <v>0</v>
      </c>
      <c r="C87" s="190"/>
      <c r="D87" s="79">
        <f>TRUNC((($D$78+$D$83)/(1-(($B$86+$B$87+$B$88))))*(B87),2)</f>
        <v>0</v>
      </c>
      <c r="E87" s="113" t="s">
        <v>34</v>
      </c>
    </row>
    <row r="88" spans="1:5" x14ac:dyDescent="0.2">
      <c r="A88" s="53" t="s">
        <v>31</v>
      </c>
      <c r="B88" s="159">
        <f>'Quadro resumo'!C54</f>
        <v>0</v>
      </c>
      <c r="C88" s="191"/>
      <c r="D88" s="79">
        <f>TRUNC((($D$78+$D$83)/(1-(($B$86+$B$87+$B$88))))*(B88),2)</f>
        <v>0</v>
      </c>
      <c r="E88" s="113" t="s">
        <v>34</v>
      </c>
    </row>
    <row r="89" spans="1:5" ht="13.5" thickBot="1" x14ac:dyDescent="0.25">
      <c r="A89" s="65" t="s">
        <v>159</v>
      </c>
      <c r="B89" s="165">
        <f>SUM(B86:B88)</f>
        <v>0</v>
      </c>
      <c r="C89" s="66" t="s">
        <v>53</v>
      </c>
      <c r="D89" s="67">
        <f>SUM(D86:D88)</f>
        <v>0</v>
      </c>
      <c r="E89" s="69" t="s">
        <v>34</v>
      </c>
    </row>
    <row r="90" spans="1:5" ht="13.5" thickBot="1" x14ac:dyDescent="0.25">
      <c r="A90" s="50"/>
      <c r="B90" s="17"/>
      <c r="C90" s="17"/>
      <c r="D90" s="17"/>
      <c r="E90" s="51"/>
    </row>
    <row r="91" spans="1:5" ht="13.5" thickBot="1" x14ac:dyDescent="0.25">
      <c r="A91" s="116" t="s">
        <v>160</v>
      </c>
      <c r="B91" s="117"/>
      <c r="C91" s="45" t="s">
        <v>35</v>
      </c>
      <c r="D91" s="117" t="s">
        <v>161</v>
      </c>
      <c r="E91" s="46" t="s">
        <v>162</v>
      </c>
    </row>
    <row r="92" spans="1:5" ht="13.5" thickBot="1" x14ac:dyDescent="0.25">
      <c r="A92" s="118"/>
      <c r="B92" s="119"/>
      <c r="C92" s="119" t="s">
        <v>163</v>
      </c>
      <c r="D92" s="120">
        <f>SUM(D78,D83,D89)</f>
        <v>4803.4100000000008</v>
      </c>
      <c r="E92" s="121">
        <f>D92*12</f>
        <v>57640.920000000013</v>
      </c>
    </row>
  </sheetData>
  <sheetProtection algorithmName="SHA-512" hashValue="cuHhI75YgZr2J3qOkYSbPVYqTOGCgSrAa97Idr4VVEKM1wMVBw+w9EDTTzVhZodHF5cc8l1LNuS6FCjSlsz24Q==" saltValue="DKrW5U7mpqbd87YammCd7w==" spinCount="100000" sheet="1" objects="1" scenarios="1"/>
  <mergeCells count="6">
    <mergeCell ref="C86:C88"/>
    <mergeCell ref="A1:E1"/>
    <mergeCell ref="A3:E3"/>
    <mergeCell ref="A46:B46"/>
    <mergeCell ref="A55:E55"/>
    <mergeCell ref="C81:C8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workbookViewId="0">
      <selection activeCell="C94" sqref="C94"/>
    </sheetView>
  </sheetViews>
  <sheetFormatPr defaultRowHeight="12.75" x14ac:dyDescent="0.2"/>
  <cols>
    <col min="1" max="1" width="75.5703125" style="35" bestFit="1" customWidth="1"/>
    <col min="2" max="2" width="16.85546875" style="35" bestFit="1" customWidth="1"/>
    <col min="3" max="3" width="39.85546875" style="35" customWidth="1"/>
    <col min="4" max="4" width="13.140625" style="35" bestFit="1" customWidth="1"/>
    <col min="5" max="5" width="44.5703125" style="35" bestFit="1" customWidth="1"/>
    <col min="6" max="256" width="9.140625" style="35"/>
    <col min="257" max="257" width="75.5703125" style="35" bestFit="1" customWidth="1"/>
    <col min="258" max="258" width="16.85546875" style="35" bestFit="1" customWidth="1"/>
    <col min="259" max="259" width="39.85546875" style="35" customWidth="1"/>
    <col min="260" max="260" width="13.140625" style="35" bestFit="1" customWidth="1"/>
    <col min="261" max="261" width="44.5703125" style="35" bestFit="1" customWidth="1"/>
    <col min="262" max="512" width="9.140625" style="35"/>
    <col min="513" max="513" width="75.5703125" style="35" bestFit="1" customWidth="1"/>
    <col min="514" max="514" width="16.85546875" style="35" bestFit="1" customWidth="1"/>
    <col min="515" max="515" width="39.85546875" style="35" customWidth="1"/>
    <col min="516" max="516" width="13.140625" style="35" bestFit="1" customWidth="1"/>
    <col min="517" max="517" width="44.5703125" style="35" bestFit="1" customWidth="1"/>
    <col min="518" max="768" width="9.140625" style="35"/>
    <col min="769" max="769" width="75.5703125" style="35" bestFit="1" customWidth="1"/>
    <col min="770" max="770" width="16.85546875" style="35" bestFit="1" customWidth="1"/>
    <col min="771" max="771" width="39.85546875" style="35" customWidth="1"/>
    <col min="772" max="772" width="13.140625" style="35" bestFit="1" customWidth="1"/>
    <col min="773" max="773" width="44.5703125" style="35" bestFit="1" customWidth="1"/>
    <col min="774" max="1024" width="9.140625" style="35"/>
    <col min="1025" max="1025" width="75.5703125" style="35" bestFit="1" customWidth="1"/>
    <col min="1026" max="1026" width="16.85546875" style="35" bestFit="1" customWidth="1"/>
    <col min="1027" max="1027" width="39.85546875" style="35" customWidth="1"/>
    <col min="1028" max="1028" width="13.140625" style="35" bestFit="1" customWidth="1"/>
    <col min="1029" max="1029" width="44.5703125" style="35" bestFit="1" customWidth="1"/>
    <col min="1030" max="1280" width="9.140625" style="35"/>
    <col min="1281" max="1281" width="75.5703125" style="35" bestFit="1" customWidth="1"/>
    <col min="1282" max="1282" width="16.85546875" style="35" bestFit="1" customWidth="1"/>
    <col min="1283" max="1283" width="39.85546875" style="35" customWidth="1"/>
    <col min="1284" max="1284" width="13.140625" style="35" bestFit="1" customWidth="1"/>
    <col min="1285" max="1285" width="44.5703125" style="35" bestFit="1" customWidth="1"/>
    <col min="1286" max="1536" width="9.140625" style="35"/>
    <col min="1537" max="1537" width="75.5703125" style="35" bestFit="1" customWidth="1"/>
    <col min="1538" max="1538" width="16.85546875" style="35" bestFit="1" customWidth="1"/>
    <col min="1539" max="1539" width="39.85546875" style="35" customWidth="1"/>
    <col min="1540" max="1540" width="13.140625" style="35" bestFit="1" customWidth="1"/>
    <col min="1541" max="1541" width="44.5703125" style="35" bestFit="1" customWidth="1"/>
    <col min="1542" max="1792" width="9.140625" style="35"/>
    <col min="1793" max="1793" width="75.5703125" style="35" bestFit="1" customWidth="1"/>
    <col min="1794" max="1794" width="16.85546875" style="35" bestFit="1" customWidth="1"/>
    <col min="1795" max="1795" width="39.85546875" style="35" customWidth="1"/>
    <col min="1796" max="1796" width="13.140625" style="35" bestFit="1" customWidth="1"/>
    <col min="1797" max="1797" width="44.5703125" style="35" bestFit="1" customWidth="1"/>
    <col min="1798" max="2048" width="9.140625" style="35"/>
    <col min="2049" max="2049" width="75.5703125" style="35" bestFit="1" customWidth="1"/>
    <col min="2050" max="2050" width="16.85546875" style="35" bestFit="1" customWidth="1"/>
    <col min="2051" max="2051" width="39.85546875" style="35" customWidth="1"/>
    <col min="2052" max="2052" width="13.140625" style="35" bestFit="1" customWidth="1"/>
    <col min="2053" max="2053" width="44.5703125" style="35" bestFit="1" customWidth="1"/>
    <col min="2054" max="2304" width="9.140625" style="35"/>
    <col min="2305" max="2305" width="75.5703125" style="35" bestFit="1" customWidth="1"/>
    <col min="2306" max="2306" width="16.85546875" style="35" bestFit="1" customWidth="1"/>
    <col min="2307" max="2307" width="39.85546875" style="35" customWidth="1"/>
    <col min="2308" max="2308" width="13.140625" style="35" bestFit="1" customWidth="1"/>
    <col min="2309" max="2309" width="44.5703125" style="35" bestFit="1" customWidth="1"/>
    <col min="2310" max="2560" width="9.140625" style="35"/>
    <col min="2561" max="2561" width="75.5703125" style="35" bestFit="1" customWidth="1"/>
    <col min="2562" max="2562" width="16.85546875" style="35" bestFit="1" customWidth="1"/>
    <col min="2563" max="2563" width="39.85546875" style="35" customWidth="1"/>
    <col min="2564" max="2564" width="13.140625" style="35" bestFit="1" customWidth="1"/>
    <col min="2565" max="2565" width="44.5703125" style="35" bestFit="1" customWidth="1"/>
    <col min="2566" max="2816" width="9.140625" style="35"/>
    <col min="2817" max="2817" width="75.5703125" style="35" bestFit="1" customWidth="1"/>
    <col min="2818" max="2818" width="16.85546875" style="35" bestFit="1" customWidth="1"/>
    <col min="2819" max="2819" width="39.85546875" style="35" customWidth="1"/>
    <col min="2820" max="2820" width="13.140625" style="35" bestFit="1" customWidth="1"/>
    <col min="2821" max="2821" width="44.5703125" style="35" bestFit="1" customWidth="1"/>
    <col min="2822" max="3072" width="9.140625" style="35"/>
    <col min="3073" max="3073" width="75.5703125" style="35" bestFit="1" customWidth="1"/>
    <col min="3074" max="3074" width="16.85546875" style="35" bestFit="1" customWidth="1"/>
    <col min="3075" max="3075" width="39.85546875" style="35" customWidth="1"/>
    <col min="3076" max="3076" width="13.140625" style="35" bestFit="1" customWidth="1"/>
    <col min="3077" max="3077" width="44.5703125" style="35" bestFit="1" customWidth="1"/>
    <col min="3078" max="3328" width="9.140625" style="35"/>
    <col min="3329" max="3329" width="75.5703125" style="35" bestFit="1" customWidth="1"/>
    <col min="3330" max="3330" width="16.85546875" style="35" bestFit="1" customWidth="1"/>
    <col min="3331" max="3331" width="39.85546875" style="35" customWidth="1"/>
    <col min="3332" max="3332" width="13.140625" style="35" bestFit="1" customWidth="1"/>
    <col min="3333" max="3333" width="44.5703125" style="35" bestFit="1" customWidth="1"/>
    <col min="3334" max="3584" width="9.140625" style="35"/>
    <col min="3585" max="3585" width="75.5703125" style="35" bestFit="1" customWidth="1"/>
    <col min="3586" max="3586" width="16.85546875" style="35" bestFit="1" customWidth="1"/>
    <col min="3587" max="3587" width="39.85546875" style="35" customWidth="1"/>
    <col min="3588" max="3588" width="13.140625" style="35" bestFit="1" customWidth="1"/>
    <col min="3589" max="3589" width="44.5703125" style="35" bestFit="1" customWidth="1"/>
    <col min="3590" max="3840" width="9.140625" style="35"/>
    <col min="3841" max="3841" width="75.5703125" style="35" bestFit="1" customWidth="1"/>
    <col min="3842" max="3842" width="16.85546875" style="35" bestFit="1" customWidth="1"/>
    <col min="3843" max="3843" width="39.85546875" style="35" customWidth="1"/>
    <col min="3844" max="3844" width="13.140625" style="35" bestFit="1" customWidth="1"/>
    <col min="3845" max="3845" width="44.5703125" style="35" bestFit="1" customWidth="1"/>
    <col min="3846" max="4096" width="9.140625" style="35"/>
    <col min="4097" max="4097" width="75.5703125" style="35" bestFit="1" customWidth="1"/>
    <col min="4098" max="4098" width="16.85546875" style="35" bestFit="1" customWidth="1"/>
    <col min="4099" max="4099" width="39.85546875" style="35" customWidth="1"/>
    <col min="4100" max="4100" width="13.140625" style="35" bestFit="1" customWidth="1"/>
    <col min="4101" max="4101" width="44.5703125" style="35" bestFit="1" customWidth="1"/>
    <col min="4102" max="4352" width="9.140625" style="35"/>
    <col min="4353" max="4353" width="75.5703125" style="35" bestFit="1" customWidth="1"/>
    <col min="4354" max="4354" width="16.85546875" style="35" bestFit="1" customWidth="1"/>
    <col min="4355" max="4355" width="39.85546875" style="35" customWidth="1"/>
    <col min="4356" max="4356" width="13.140625" style="35" bestFit="1" customWidth="1"/>
    <col min="4357" max="4357" width="44.5703125" style="35" bestFit="1" customWidth="1"/>
    <col min="4358" max="4608" width="9.140625" style="35"/>
    <col min="4609" max="4609" width="75.5703125" style="35" bestFit="1" customWidth="1"/>
    <col min="4610" max="4610" width="16.85546875" style="35" bestFit="1" customWidth="1"/>
    <col min="4611" max="4611" width="39.85546875" style="35" customWidth="1"/>
    <col min="4612" max="4612" width="13.140625" style="35" bestFit="1" customWidth="1"/>
    <col min="4613" max="4613" width="44.5703125" style="35" bestFit="1" customWidth="1"/>
    <col min="4614" max="4864" width="9.140625" style="35"/>
    <col min="4865" max="4865" width="75.5703125" style="35" bestFit="1" customWidth="1"/>
    <col min="4866" max="4866" width="16.85546875" style="35" bestFit="1" customWidth="1"/>
    <col min="4867" max="4867" width="39.85546875" style="35" customWidth="1"/>
    <col min="4868" max="4868" width="13.140625" style="35" bestFit="1" customWidth="1"/>
    <col min="4869" max="4869" width="44.5703125" style="35" bestFit="1" customWidth="1"/>
    <col min="4870" max="5120" width="9.140625" style="35"/>
    <col min="5121" max="5121" width="75.5703125" style="35" bestFit="1" customWidth="1"/>
    <col min="5122" max="5122" width="16.85546875" style="35" bestFit="1" customWidth="1"/>
    <col min="5123" max="5123" width="39.85546875" style="35" customWidth="1"/>
    <col min="5124" max="5124" width="13.140625" style="35" bestFit="1" customWidth="1"/>
    <col min="5125" max="5125" width="44.5703125" style="35" bestFit="1" customWidth="1"/>
    <col min="5126" max="5376" width="9.140625" style="35"/>
    <col min="5377" max="5377" width="75.5703125" style="35" bestFit="1" customWidth="1"/>
    <col min="5378" max="5378" width="16.85546875" style="35" bestFit="1" customWidth="1"/>
    <col min="5379" max="5379" width="39.85546875" style="35" customWidth="1"/>
    <col min="5380" max="5380" width="13.140625" style="35" bestFit="1" customWidth="1"/>
    <col min="5381" max="5381" width="44.5703125" style="35" bestFit="1" customWidth="1"/>
    <col min="5382" max="5632" width="9.140625" style="35"/>
    <col min="5633" max="5633" width="75.5703125" style="35" bestFit="1" customWidth="1"/>
    <col min="5634" max="5634" width="16.85546875" style="35" bestFit="1" customWidth="1"/>
    <col min="5635" max="5635" width="39.85546875" style="35" customWidth="1"/>
    <col min="5636" max="5636" width="13.140625" style="35" bestFit="1" customWidth="1"/>
    <col min="5637" max="5637" width="44.5703125" style="35" bestFit="1" customWidth="1"/>
    <col min="5638" max="5888" width="9.140625" style="35"/>
    <col min="5889" max="5889" width="75.5703125" style="35" bestFit="1" customWidth="1"/>
    <col min="5890" max="5890" width="16.85546875" style="35" bestFit="1" customWidth="1"/>
    <col min="5891" max="5891" width="39.85546875" style="35" customWidth="1"/>
    <col min="5892" max="5892" width="13.140625" style="35" bestFit="1" customWidth="1"/>
    <col min="5893" max="5893" width="44.5703125" style="35" bestFit="1" customWidth="1"/>
    <col min="5894" max="6144" width="9.140625" style="35"/>
    <col min="6145" max="6145" width="75.5703125" style="35" bestFit="1" customWidth="1"/>
    <col min="6146" max="6146" width="16.85546875" style="35" bestFit="1" customWidth="1"/>
    <col min="6147" max="6147" width="39.85546875" style="35" customWidth="1"/>
    <col min="6148" max="6148" width="13.140625" style="35" bestFit="1" customWidth="1"/>
    <col min="6149" max="6149" width="44.5703125" style="35" bestFit="1" customWidth="1"/>
    <col min="6150" max="6400" width="9.140625" style="35"/>
    <col min="6401" max="6401" width="75.5703125" style="35" bestFit="1" customWidth="1"/>
    <col min="6402" max="6402" width="16.85546875" style="35" bestFit="1" customWidth="1"/>
    <col min="6403" max="6403" width="39.85546875" style="35" customWidth="1"/>
    <col min="6404" max="6404" width="13.140625" style="35" bestFit="1" customWidth="1"/>
    <col min="6405" max="6405" width="44.5703125" style="35" bestFit="1" customWidth="1"/>
    <col min="6406" max="6656" width="9.140625" style="35"/>
    <col min="6657" max="6657" width="75.5703125" style="35" bestFit="1" customWidth="1"/>
    <col min="6658" max="6658" width="16.85546875" style="35" bestFit="1" customWidth="1"/>
    <col min="6659" max="6659" width="39.85546875" style="35" customWidth="1"/>
    <col min="6660" max="6660" width="13.140625" style="35" bestFit="1" customWidth="1"/>
    <col min="6661" max="6661" width="44.5703125" style="35" bestFit="1" customWidth="1"/>
    <col min="6662" max="6912" width="9.140625" style="35"/>
    <col min="6913" max="6913" width="75.5703125" style="35" bestFit="1" customWidth="1"/>
    <col min="6914" max="6914" width="16.85546875" style="35" bestFit="1" customWidth="1"/>
    <col min="6915" max="6915" width="39.85546875" style="35" customWidth="1"/>
    <col min="6916" max="6916" width="13.140625" style="35" bestFit="1" customWidth="1"/>
    <col min="6917" max="6917" width="44.5703125" style="35" bestFit="1" customWidth="1"/>
    <col min="6918" max="7168" width="9.140625" style="35"/>
    <col min="7169" max="7169" width="75.5703125" style="35" bestFit="1" customWidth="1"/>
    <col min="7170" max="7170" width="16.85546875" style="35" bestFit="1" customWidth="1"/>
    <col min="7171" max="7171" width="39.85546875" style="35" customWidth="1"/>
    <col min="7172" max="7172" width="13.140625" style="35" bestFit="1" customWidth="1"/>
    <col min="7173" max="7173" width="44.5703125" style="35" bestFit="1" customWidth="1"/>
    <col min="7174" max="7424" width="9.140625" style="35"/>
    <col min="7425" max="7425" width="75.5703125" style="35" bestFit="1" customWidth="1"/>
    <col min="7426" max="7426" width="16.85546875" style="35" bestFit="1" customWidth="1"/>
    <col min="7427" max="7427" width="39.85546875" style="35" customWidth="1"/>
    <col min="7428" max="7428" width="13.140625" style="35" bestFit="1" customWidth="1"/>
    <col min="7429" max="7429" width="44.5703125" style="35" bestFit="1" customWidth="1"/>
    <col min="7430" max="7680" width="9.140625" style="35"/>
    <col min="7681" max="7681" width="75.5703125" style="35" bestFit="1" customWidth="1"/>
    <col min="7682" max="7682" width="16.85546875" style="35" bestFit="1" customWidth="1"/>
    <col min="7683" max="7683" width="39.85546875" style="35" customWidth="1"/>
    <col min="7684" max="7684" width="13.140625" style="35" bestFit="1" customWidth="1"/>
    <col min="7685" max="7685" width="44.5703125" style="35" bestFit="1" customWidth="1"/>
    <col min="7686" max="7936" width="9.140625" style="35"/>
    <col min="7937" max="7937" width="75.5703125" style="35" bestFit="1" customWidth="1"/>
    <col min="7938" max="7938" width="16.85546875" style="35" bestFit="1" customWidth="1"/>
    <col min="7939" max="7939" width="39.85546875" style="35" customWidth="1"/>
    <col min="7940" max="7940" width="13.140625" style="35" bestFit="1" customWidth="1"/>
    <col min="7941" max="7941" width="44.5703125" style="35" bestFit="1" customWidth="1"/>
    <col min="7942" max="8192" width="9.140625" style="35"/>
    <col min="8193" max="8193" width="75.5703125" style="35" bestFit="1" customWidth="1"/>
    <col min="8194" max="8194" width="16.85546875" style="35" bestFit="1" customWidth="1"/>
    <col min="8195" max="8195" width="39.85546875" style="35" customWidth="1"/>
    <col min="8196" max="8196" width="13.140625" style="35" bestFit="1" customWidth="1"/>
    <col min="8197" max="8197" width="44.5703125" style="35" bestFit="1" customWidth="1"/>
    <col min="8198" max="8448" width="9.140625" style="35"/>
    <col min="8449" max="8449" width="75.5703125" style="35" bestFit="1" customWidth="1"/>
    <col min="8450" max="8450" width="16.85546875" style="35" bestFit="1" customWidth="1"/>
    <col min="8451" max="8451" width="39.85546875" style="35" customWidth="1"/>
    <col min="8452" max="8452" width="13.140625" style="35" bestFit="1" customWidth="1"/>
    <col min="8453" max="8453" width="44.5703125" style="35" bestFit="1" customWidth="1"/>
    <col min="8454" max="8704" width="9.140625" style="35"/>
    <col min="8705" max="8705" width="75.5703125" style="35" bestFit="1" customWidth="1"/>
    <col min="8706" max="8706" width="16.85546875" style="35" bestFit="1" customWidth="1"/>
    <col min="8707" max="8707" width="39.85546875" style="35" customWidth="1"/>
    <col min="8708" max="8708" width="13.140625" style="35" bestFit="1" customWidth="1"/>
    <col min="8709" max="8709" width="44.5703125" style="35" bestFit="1" customWidth="1"/>
    <col min="8710" max="8960" width="9.140625" style="35"/>
    <col min="8961" max="8961" width="75.5703125" style="35" bestFit="1" customWidth="1"/>
    <col min="8962" max="8962" width="16.85546875" style="35" bestFit="1" customWidth="1"/>
    <col min="8963" max="8963" width="39.85546875" style="35" customWidth="1"/>
    <col min="8964" max="8964" width="13.140625" style="35" bestFit="1" customWidth="1"/>
    <col min="8965" max="8965" width="44.5703125" style="35" bestFit="1" customWidth="1"/>
    <col min="8966" max="9216" width="9.140625" style="35"/>
    <col min="9217" max="9217" width="75.5703125" style="35" bestFit="1" customWidth="1"/>
    <col min="9218" max="9218" width="16.85546875" style="35" bestFit="1" customWidth="1"/>
    <col min="9219" max="9219" width="39.85546875" style="35" customWidth="1"/>
    <col min="9220" max="9220" width="13.140625" style="35" bestFit="1" customWidth="1"/>
    <col min="9221" max="9221" width="44.5703125" style="35" bestFit="1" customWidth="1"/>
    <col min="9222" max="9472" width="9.140625" style="35"/>
    <col min="9473" max="9473" width="75.5703125" style="35" bestFit="1" customWidth="1"/>
    <col min="9474" max="9474" width="16.85546875" style="35" bestFit="1" customWidth="1"/>
    <col min="9475" max="9475" width="39.85546875" style="35" customWidth="1"/>
    <col min="9476" max="9476" width="13.140625" style="35" bestFit="1" customWidth="1"/>
    <col min="9477" max="9477" width="44.5703125" style="35" bestFit="1" customWidth="1"/>
    <col min="9478" max="9728" width="9.140625" style="35"/>
    <col min="9729" max="9729" width="75.5703125" style="35" bestFit="1" customWidth="1"/>
    <col min="9730" max="9730" width="16.85546875" style="35" bestFit="1" customWidth="1"/>
    <col min="9731" max="9731" width="39.85546875" style="35" customWidth="1"/>
    <col min="9732" max="9732" width="13.140625" style="35" bestFit="1" customWidth="1"/>
    <col min="9733" max="9733" width="44.5703125" style="35" bestFit="1" customWidth="1"/>
    <col min="9734" max="9984" width="9.140625" style="35"/>
    <col min="9985" max="9985" width="75.5703125" style="35" bestFit="1" customWidth="1"/>
    <col min="9986" max="9986" width="16.85546875" style="35" bestFit="1" customWidth="1"/>
    <col min="9987" max="9987" width="39.85546875" style="35" customWidth="1"/>
    <col min="9988" max="9988" width="13.140625" style="35" bestFit="1" customWidth="1"/>
    <col min="9989" max="9989" width="44.5703125" style="35" bestFit="1" customWidth="1"/>
    <col min="9990" max="10240" width="9.140625" style="35"/>
    <col min="10241" max="10241" width="75.5703125" style="35" bestFit="1" customWidth="1"/>
    <col min="10242" max="10242" width="16.85546875" style="35" bestFit="1" customWidth="1"/>
    <col min="10243" max="10243" width="39.85546875" style="35" customWidth="1"/>
    <col min="10244" max="10244" width="13.140625" style="35" bestFit="1" customWidth="1"/>
    <col min="10245" max="10245" width="44.5703125" style="35" bestFit="1" customWidth="1"/>
    <col min="10246" max="10496" width="9.140625" style="35"/>
    <col min="10497" max="10497" width="75.5703125" style="35" bestFit="1" customWidth="1"/>
    <col min="10498" max="10498" width="16.85546875" style="35" bestFit="1" customWidth="1"/>
    <col min="10499" max="10499" width="39.85546875" style="35" customWidth="1"/>
    <col min="10500" max="10500" width="13.140625" style="35" bestFit="1" customWidth="1"/>
    <col min="10501" max="10501" width="44.5703125" style="35" bestFit="1" customWidth="1"/>
    <col min="10502" max="10752" width="9.140625" style="35"/>
    <col min="10753" max="10753" width="75.5703125" style="35" bestFit="1" customWidth="1"/>
    <col min="10754" max="10754" width="16.85546875" style="35" bestFit="1" customWidth="1"/>
    <col min="10755" max="10755" width="39.85546875" style="35" customWidth="1"/>
    <col min="10756" max="10756" width="13.140625" style="35" bestFit="1" customWidth="1"/>
    <col min="10757" max="10757" width="44.5703125" style="35" bestFit="1" customWidth="1"/>
    <col min="10758" max="11008" width="9.140625" style="35"/>
    <col min="11009" max="11009" width="75.5703125" style="35" bestFit="1" customWidth="1"/>
    <col min="11010" max="11010" width="16.85546875" style="35" bestFit="1" customWidth="1"/>
    <col min="11011" max="11011" width="39.85546875" style="35" customWidth="1"/>
    <col min="11012" max="11012" width="13.140625" style="35" bestFit="1" customWidth="1"/>
    <col min="11013" max="11013" width="44.5703125" style="35" bestFit="1" customWidth="1"/>
    <col min="11014" max="11264" width="9.140625" style="35"/>
    <col min="11265" max="11265" width="75.5703125" style="35" bestFit="1" customWidth="1"/>
    <col min="11266" max="11266" width="16.85546875" style="35" bestFit="1" customWidth="1"/>
    <col min="11267" max="11267" width="39.85546875" style="35" customWidth="1"/>
    <col min="11268" max="11268" width="13.140625" style="35" bestFit="1" customWidth="1"/>
    <col min="11269" max="11269" width="44.5703125" style="35" bestFit="1" customWidth="1"/>
    <col min="11270" max="11520" width="9.140625" style="35"/>
    <col min="11521" max="11521" width="75.5703125" style="35" bestFit="1" customWidth="1"/>
    <col min="11522" max="11522" width="16.85546875" style="35" bestFit="1" customWidth="1"/>
    <col min="11523" max="11523" width="39.85546875" style="35" customWidth="1"/>
    <col min="11524" max="11524" width="13.140625" style="35" bestFit="1" customWidth="1"/>
    <col min="11525" max="11525" width="44.5703125" style="35" bestFit="1" customWidth="1"/>
    <col min="11526" max="11776" width="9.140625" style="35"/>
    <col min="11777" max="11777" width="75.5703125" style="35" bestFit="1" customWidth="1"/>
    <col min="11778" max="11778" width="16.85546875" style="35" bestFit="1" customWidth="1"/>
    <col min="11779" max="11779" width="39.85546875" style="35" customWidth="1"/>
    <col min="11780" max="11780" width="13.140625" style="35" bestFit="1" customWidth="1"/>
    <col min="11781" max="11781" width="44.5703125" style="35" bestFit="1" customWidth="1"/>
    <col min="11782" max="12032" width="9.140625" style="35"/>
    <col min="12033" max="12033" width="75.5703125" style="35" bestFit="1" customWidth="1"/>
    <col min="12034" max="12034" width="16.85546875" style="35" bestFit="1" customWidth="1"/>
    <col min="12035" max="12035" width="39.85546875" style="35" customWidth="1"/>
    <col min="12036" max="12036" width="13.140625" style="35" bestFit="1" customWidth="1"/>
    <col min="12037" max="12037" width="44.5703125" style="35" bestFit="1" customWidth="1"/>
    <col min="12038" max="12288" width="9.140625" style="35"/>
    <col min="12289" max="12289" width="75.5703125" style="35" bestFit="1" customWidth="1"/>
    <col min="12290" max="12290" width="16.85546875" style="35" bestFit="1" customWidth="1"/>
    <col min="12291" max="12291" width="39.85546875" style="35" customWidth="1"/>
    <col min="12292" max="12292" width="13.140625" style="35" bestFit="1" customWidth="1"/>
    <col min="12293" max="12293" width="44.5703125" style="35" bestFit="1" customWidth="1"/>
    <col min="12294" max="12544" width="9.140625" style="35"/>
    <col min="12545" max="12545" width="75.5703125" style="35" bestFit="1" customWidth="1"/>
    <col min="12546" max="12546" width="16.85546875" style="35" bestFit="1" customWidth="1"/>
    <col min="12547" max="12547" width="39.85546875" style="35" customWidth="1"/>
    <col min="12548" max="12548" width="13.140625" style="35" bestFit="1" customWidth="1"/>
    <col min="12549" max="12549" width="44.5703125" style="35" bestFit="1" customWidth="1"/>
    <col min="12550" max="12800" width="9.140625" style="35"/>
    <col min="12801" max="12801" width="75.5703125" style="35" bestFit="1" customWidth="1"/>
    <col min="12802" max="12802" width="16.85546875" style="35" bestFit="1" customWidth="1"/>
    <col min="12803" max="12803" width="39.85546875" style="35" customWidth="1"/>
    <col min="12804" max="12804" width="13.140625" style="35" bestFit="1" customWidth="1"/>
    <col min="12805" max="12805" width="44.5703125" style="35" bestFit="1" customWidth="1"/>
    <col min="12806" max="13056" width="9.140625" style="35"/>
    <col min="13057" max="13057" width="75.5703125" style="35" bestFit="1" customWidth="1"/>
    <col min="13058" max="13058" width="16.85546875" style="35" bestFit="1" customWidth="1"/>
    <col min="13059" max="13059" width="39.85546875" style="35" customWidth="1"/>
    <col min="13060" max="13060" width="13.140625" style="35" bestFit="1" customWidth="1"/>
    <col min="13061" max="13061" width="44.5703125" style="35" bestFit="1" customWidth="1"/>
    <col min="13062" max="13312" width="9.140625" style="35"/>
    <col min="13313" max="13313" width="75.5703125" style="35" bestFit="1" customWidth="1"/>
    <col min="13314" max="13314" width="16.85546875" style="35" bestFit="1" customWidth="1"/>
    <col min="13315" max="13315" width="39.85546875" style="35" customWidth="1"/>
    <col min="13316" max="13316" width="13.140625" style="35" bestFit="1" customWidth="1"/>
    <col min="13317" max="13317" width="44.5703125" style="35" bestFit="1" customWidth="1"/>
    <col min="13318" max="13568" width="9.140625" style="35"/>
    <col min="13569" max="13569" width="75.5703125" style="35" bestFit="1" customWidth="1"/>
    <col min="13570" max="13570" width="16.85546875" style="35" bestFit="1" customWidth="1"/>
    <col min="13571" max="13571" width="39.85546875" style="35" customWidth="1"/>
    <col min="13572" max="13572" width="13.140625" style="35" bestFit="1" customWidth="1"/>
    <col min="13573" max="13573" width="44.5703125" style="35" bestFit="1" customWidth="1"/>
    <col min="13574" max="13824" width="9.140625" style="35"/>
    <col min="13825" max="13825" width="75.5703125" style="35" bestFit="1" customWidth="1"/>
    <col min="13826" max="13826" width="16.85546875" style="35" bestFit="1" customWidth="1"/>
    <col min="13827" max="13827" width="39.85546875" style="35" customWidth="1"/>
    <col min="13828" max="13828" width="13.140625" style="35" bestFit="1" customWidth="1"/>
    <col min="13829" max="13829" width="44.5703125" style="35" bestFit="1" customWidth="1"/>
    <col min="13830" max="14080" width="9.140625" style="35"/>
    <col min="14081" max="14081" width="75.5703125" style="35" bestFit="1" customWidth="1"/>
    <col min="14082" max="14082" width="16.85546875" style="35" bestFit="1" customWidth="1"/>
    <col min="14083" max="14083" width="39.85546875" style="35" customWidth="1"/>
    <col min="14084" max="14084" width="13.140625" style="35" bestFit="1" customWidth="1"/>
    <col min="14085" max="14085" width="44.5703125" style="35" bestFit="1" customWidth="1"/>
    <col min="14086" max="14336" width="9.140625" style="35"/>
    <col min="14337" max="14337" width="75.5703125" style="35" bestFit="1" customWidth="1"/>
    <col min="14338" max="14338" width="16.85546875" style="35" bestFit="1" customWidth="1"/>
    <col min="14339" max="14339" width="39.85546875" style="35" customWidth="1"/>
    <col min="14340" max="14340" width="13.140625" style="35" bestFit="1" customWidth="1"/>
    <col min="14341" max="14341" width="44.5703125" style="35" bestFit="1" customWidth="1"/>
    <col min="14342" max="14592" width="9.140625" style="35"/>
    <col min="14593" max="14593" width="75.5703125" style="35" bestFit="1" customWidth="1"/>
    <col min="14594" max="14594" width="16.85546875" style="35" bestFit="1" customWidth="1"/>
    <col min="14595" max="14595" width="39.85546875" style="35" customWidth="1"/>
    <col min="14596" max="14596" width="13.140625" style="35" bestFit="1" customWidth="1"/>
    <col min="14597" max="14597" width="44.5703125" style="35" bestFit="1" customWidth="1"/>
    <col min="14598" max="14848" width="9.140625" style="35"/>
    <col min="14849" max="14849" width="75.5703125" style="35" bestFit="1" customWidth="1"/>
    <col min="14850" max="14850" width="16.85546875" style="35" bestFit="1" customWidth="1"/>
    <col min="14851" max="14851" width="39.85546875" style="35" customWidth="1"/>
    <col min="14852" max="14852" width="13.140625" style="35" bestFit="1" customWidth="1"/>
    <col min="14853" max="14853" width="44.5703125" style="35" bestFit="1" customWidth="1"/>
    <col min="14854" max="15104" width="9.140625" style="35"/>
    <col min="15105" max="15105" width="75.5703125" style="35" bestFit="1" customWidth="1"/>
    <col min="15106" max="15106" width="16.85546875" style="35" bestFit="1" customWidth="1"/>
    <col min="15107" max="15107" width="39.85546875" style="35" customWidth="1"/>
    <col min="15108" max="15108" width="13.140625" style="35" bestFit="1" customWidth="1"/>
    <col min="15109" max="15109" width="44.5703125" style="35" bestFit="1" customWidth="1"/>
    <col min="15110" max="15360" width="9.140625" style="35"/>
    <col min="15361" max="15361" width="75.5703125" style="35" bestFit="1" customWidth="1"/>
    <col min="15362" max="15362" width="16.85546875" style="35" bestFit="1" customWidth="1"/>
    <col min="15363" max="15363" width="39.85546875" style="35" customWidth="1"/>
    <col min="15364" max="15364" width="13.140625" style="35" bestFit="1" customWidth="1"/>
    <col min="15365" max="15365" width="44.5703125" style="35" bestFit="1" customWidth="1"/>
    <col min="15366" max="15616" width="9.140625" style="35"/>
    <col min="15617" max="15617" width="75.5703125" style="35" bestFit="1" customWidth="1"/>
    <col min="15618" max="15618" width="16.85546875" style="35" bestFit="1" customWidth="1"/>
    <col min="15619" max="15619" width="39.85546875" style="35" customWidth="1"/>
    <col min="15620" max="15620" width="13.140625" style="35" bestFit="1" customWidth="1"/>
    <col min="15621" max="15621" width="44.5703125" style="35" bestFit="1" customWidth="1"/>
    <col min="15622" max="15872" width="9.140625" style="35"/>
    <col min="15873" max="15873" width="75.5703125" style="35" bestFit="1" customWidth="1"/>
    <col min="15874" max="15874" width="16.85546875" style="35" bestFit="1" customWidth="1"/>
    <col min="15875" max="15875" width="39.85546875" style="35" customWidth="1"/>
    <col min="15876" max="15876" width="13.140625" style="35" bestFit="1" customWidth="1"/>
    <col min="15877" max="15877" width="44.5703125" style="35" bestFit="1" customWidth="1"/>
    <col min="15878" max="16128" width="9.140625" style="35"/>
    <col min="16129" max="16129" width="75.5703125" style="35" bestFit="1" customWidth="1"/>
    <col min="16130" max="16130" width="16.85546875" style="35" bestFit="1" customWidth="1"/>
    <col min="16131" max="16131" width="39.85546875" style="35" customWidth="1"/>
    <col min="16132" max="16132" width="13.140625" style="35" bestFit="1" customWidth="1"/>
    <col min="16133" max="16133" width="44.5703125" style="35" bestFit="1" customWidth="1"/>
    <col min="16134" max="16384" width="9.140625" style="35"/>
  </cols>
  <sheetData>
    <row r="1" spans="1:5" ht="20.25" thickBot="1" x14ac:dyDescent="0.25">
      <c r="A1" s="192" t="s">
        <v>169</v>
      </c>
      <c r="B1" s="193"/>
      <c r="C1" s="193"/>
      <c r="D1" s="193"/>
      <c r="E1" s="194"/>
    </row>
    <row r="2" spans="1:5" ht="20.25" thickBot="1" x14ac:dyDescent="0.25">
      <c r="A2" s="38"/>
      <c r="B2" s="39"/>
      <c r="C2" s="39"/>
      <c r="D2" s="39"/>
      <c r="E2" s="40"/>
    </row>
    <row r="3" spans="1:5" ht="15.75" thickBot="1" x14ac:dyDescent="0.25">
      <c r="A3" s="195" t="s">
        <v>185</v>
      </c>
      <c r="B3" s="196"/>
      <c r="C3" s="196"/>
      <c r="D3" s="196"/>
      <c r="E3" s="197"/>
    </row>
    <row r="4" spans="1:5" ht="20.25" thickBot="1" x14ac:dyDescent="0.25">
      <c r="A4" s="41"/>
      <c r="B4" s="42"/>
      <c r="C4" s="42"/>
      <c r="D4" s="42"/>
      <c r="E4" s="43"/>
    </row>
    <row r="5" spans="1:5" x14ac:dyDescent="0.2">
      <c r="A5" s="44" t="s">
        <v>33</v>
      </c>
      <c r="B5" s="45" t="s">
        <v>34</v>
      </c>
      <c r="C5" s="45" t="s">
        <v>35</v>
      </c>
      <c r="D5" s="45" t="s">
        <v>36</v>
      </c>
      <c r="E5" s="46" t="s">
        <v>37</v>
      </c>
    </row>
    <row r="6" spans="1:5" ht="13.5" thickBot="1" x14ac:dyDescent="0.25">
      <c r="A6" s="47" t="s">
        <v>170</v>
      </c>
      <c r="B6" s="48" t="s">
        <v>34</v>
      </c>
      <c r="C6" s="48" t="s">
        <v>39</v>
      </c>
      <c r="D6" s="152">
        <v>1699.28</v>
      </c>
      <c r="E6" s="49" t="s">
        <v>34</v>
      </c>
    </row>
    <row r="7" spans="1:5" ht="13.5" thickBot="1" x14ac:dyDescent="0.25">
      <c r="A7" s="50"/>
      <c r="B7" s="17"/>
      <c r="C7" s="17"/>
      <c r="D7" s="17"/>
      <c r="E7" s="51"/>
    </row>
    <row r="8" spans="1:5" x14ac:dyDescent="0.2">
      <c r="A8" s="52" t="s">
        <v>40</v>
      </c>
      <c r="B8" s="45" t="s">
        <v>41</v>
      </c>
      <c r="C8" s="45" t="s">
        <v>35</v>
      </c>
      <c r="D8" s="45" t="s">
        <v>36</v>
      </c>
      <c r="E8" s="46" t="s">
        <v>37</v>
      </c>
    </row>
    <row r="9" spans="1:5" x14ac:dyDescent="0.2">
      <c r="A9" s="154" t="s">
        <v>42</v>
      </c>
      <c r="B9" s="54" t="s">
        <v>34</v>
      </c>
      <c r="C9" s="23" t="s">
        <v>34</v>
      </c>
      <c r="D9" s="55">
        <f>TRUNC(D6,2)</f>
        <v>1699.28</v>
      </c>
      <c r="E9" s="56" t="s">
        <v>34</v>
      </c>
    </row>
    <row r="10" spans="1:5" x14ac:dyDescent="0.2">
      <c r="A10" s="155" t="s">
        <v>46</v>
      </c>
      <c r="B10" s="54" t="s">
        <v>34</v>
      </c>
      <c r="C10" s="59" t="s">
        <v>166</v>
      </c>
      <c r="D10" s="153">
        <f>TRUNC(D9*30%,2)</f>
        <v>509.78</v>
      </c>
      <c r="E10" s="61" t="s">
        <v>34</v>
      </c>
    </row>
    <row r="11" spans="1:5" ht="13.5" thickBot="1" x14ac:dyDescent="0.25">
      <c r="A11" s="65" t="s">
        <v>52</v>
      </c>
      <c r="B11" s="66" t="s">
        <v>34</v>
      </c>
      <c r="C11" s="67" t="s">
        <v>53</v>
      </c>
      <c r="D11" s="68">
        <f>SUM(D9:D10)</f>
        <v>2209.06</v>
      </c>
      <c r="E11" s="69" t="s">
        <v>34</v>
      </c>
    </row>
    <row r="12" spans="1:5" ht="13.5" thickBot="1" x14ac:dyDescent="0.25">
      <c r="A12" s="50"/>
      <c r="B12" s="70"/>
      <c r="C12" s="27"/>
      <c r="D12" s="17"/>
      <c r="E12" s="51"/>
    </row>
    <row r="13" spans="1:5" x14ac:dyDescent="0.2">
      <c r="A13" s="52" t="s">
        <v>54</v>
      </c>
      <c r="B13" s="45" t="s">
        <v>202</v>
      </c>
      <c r="C13" s="45" t="s">
        <v>35</v>
      </c>
      <c r="D13" s="45" t="s">
        <v>36</v>
      </c>
      <c r="E13" s="46" t="s">
        <v>37</v>
      </c>
    </row>
    <row r="14" spans="1:5" x14ac:dyDescent="0.2">
      <c r="A14" s="71" t="s">
        <v>56</v>
      </c>
      <c r="B14" s="72"/>
      <c r="C14" s="73"/>
      <c r="D14" s="74"/>
      <c r="E14" s="75"/>
    </row>
    <row r="15" spans="1:5" x14ac:dyDescent="0.2">
      <c r="A15" s="154" t="s">
        <v>57</v>
      </c>
      <c r="B15" s="161">
        <v>0.2</v>
      </c>
      <c r="C15" s="23" t="s">
        <v>58</v>
      </c>
      <c r="D15" s="76">
        <f t="shared" ref="D15:D22" si="0">TRUNC(B15*$D$11,2)</f>
        <v>441.81</v>
      </c>
      <c r="E15" s="77" t="s">
        <v>59</v>
      </c>
    </row>
    <row r="16" spans="1:5" x14ac:dyDescent="0.2">
      <c r="A16" s="154" t="s">
        <v>60</v>
      </c>
      <c r="B16" s="161">
        <v>0.08</v>
      </c>
      <c r="C16" s="23" t="s">
        <v>61</v>
      </c>
      <c r="D16" s="76">
        <f t="shared" si="0"/>
        <v>176.72</v>
      </c>
      <c r="E16" s="77" t="s">
        <v>62</v>
      </c>
    </row>
    <row r="17" spans="1:5" x14ac:dyDescent="0.2">
      <c r="A17" s="154" t="s">
        <v>63</v>
      </c>
      <c r="B17" s="161">
        <v>1.4999999999999999E-2</v>
      </c>
      <c r="C17" s="23" t="s">
        <v>64</v>
      </c>
      <c r="D17" s="76">
        <f t="shared" si="0"/>
        <v>33.130000000000003</v>
      </c>
      <c r="E17" s="77" t="s">
        <v>65</v>
      </c>
    </row>
    <row r="18" spans="1:5" x14ac:dyDescent="0.2">
      <c r="A18" s="154" t="s">
        <v>66</v>
      </c>
      <c r="B18" s="161">
        <v>0.01</v>
      </c>
      <c r="C18" s="23" t="s">
        <v>67</v>
      </c>
      <c r="D18" s="76">
        <f t="shared" si="0"/>
        <v>22.09</v>
      </c>
      <c r="E18" s="77" t="s">
        <v>68</v>
      </c>
    </row>
    <row r="19" spans="1:5" x14ac:dyDescent="0.2">
      <c r="A19" s="154" t="s">
        <v>69</v>
      </c>
      <c r="B19" s="161">
        <v>2E-3</v>
      </c>
      <c r="C19" s="23" t="s">
        <v>70</v>
      </c>
      <c r="D19" s="76">
        <f t="shared" si="0"/>
        <v>4.41</v>
      </c>
      <c r="E19" s="77" t="s">
        <v>71</v>
      </c>
    </row>
    <row r="20" spans="1:5" x14ac:dyDescent="0.2">
      <c r="A20" s="154" t="s">
        <v>72</v>
      </c>
      <c r="B20" s="161">
        <v>6.0000000000000001E-3</v>
      </c>
      <c r="C20" s="23" t="s">
        <v>73</v>
      </c>
      <c r="D20" s="76">
        <f t="shared" si="0"/>
        <v>13.25</v>
      </c>
      <c r="E20" s="77" t="s">
        <v>74</v>
      </c>
    </row>
    <row r="21" spans="1:5" x14ac:dyDescent="0.2">
      <c r="A21" s="154" t="s">
        <v>75</v>
      </c>
      <c r="B21" s="161">
        <v>2.5000000000000001E-2</v>
      </c>
      <c r="C21" s="23" t="s">
        <v>76</v>
      </c>
      <c r="D21" s="76">
        <f t="shared" si="0"/>
        <v>55.22</v>
      </c>
      <c r="E21" s="77" t="s">
        <v>77</v>
      </c>
    </row>
    <row r="22" spans="1:5" x14ac:dyDescent="0.2">
      <c r="A22" s="156" t="s">
        <v>78</v>
      </c>
      <c r="B22" s="159">
        <f>'Quadro resumo'!C42</f>
        <v>0</v>
      </c>
      <c r="C22" s="23" t="s">
        <v>79</v>
      </c>
      <c r="D22" s="79">
        <f t="shared" si="0"/>
        <v>0</v>
      </c>
      <c r="E22" s="77" t="s">
        <v>80</v>
      </c>
    </row>
    <row r="23" spans="1:5" ht="13.5" thickBot="1" x14ac:dyDescent="0.25">
      <c r="A23" s="65" t="s">
        <v>81</v>
      </c>
      <c r="B23" s="165">
        <f>SUM(B15:B22)</f>
        <v>0.33800000000000008</v>
      </c>
      <c r="C23" s="66" t="s">
        <v>53</v>
      </c>
      <c r="D23" s="81">
        <f>SUM(D15:D22)</f>
        <v>746.63</v>
      </c>
      <c r="E23" s="69" t="s">
        <v>34</v>
      </c>
    </row>
    <row r="24" spans="1:5" ht="13.5" thickBot="1" x14ac:dyDescent="0.25">
      <c r="A24" s="50"/>
      <c r="B24" s="17"/>
      <c r="C24" s="17"/>
      <c r="D24" s="17"/>
      <c r="E24" s="51"/>
    </row>
    <row r="25" spans="1:5" x14ac:dyDescent="0.2">
      <c r="A25" s="52" t="s">
        <v>82</v>
      </c>
      <c r="B25" s="45" t="s">
        <v>202</v>
      </c>
      <c r="C25" s="45" t="s">
        <v>35</v>
      </c>
      <c r="D25" s="45" t="s">
        <v>36</v>
      </c>
      <c r="E25" s="46" t="s">
        <v>37</v>
      </c>
    </row>
    <row r="26" spans="1:5" x14ac:dyDescent="0.2">
      <c r="A26" s="154" t="s">
        <v>83</v>
      </c>
      <c r="B26" s="164">
        <f>1/12</f>
        <v>8.3333333333333329E-2</v>
      </c>
      <c r="C26" s="23" t="s">
        <v>206</v>
      </c>
      <c r="D26" s="158">
        <f t="shared" ref="D26:D33" si="1">TRUNC(B26*$D$11,2)</f>
        <v>184.08</v>
      </c>
      <c r="E26" s="77" t="s">
        <v>84</v>
      </c>
    </row>
    <row r="27" spans="1:5" x14ac:dyDescent="0.2">
      <c r="A27" s="154" t="s">
        <v>85</v>
      </c>
      <c r="B27" s="161">
        <f>((1+1/3)/12)</f>
        <v>0.1111111111111111</v>
      </c>
      <c r="C27" s="23" t="s">
        <v>207</v>
      </c>
      <c r="D27" s="158">
        <f t="shared" si="1"/>
        <v>245.45</v>
      </c>
      <c r="E27" s="77" t="s">
        <v>86</v>
      </c>
    </row>
    <row r="28" spans="1:5" x14ac:dyDescent="0.2">
      <c r="A28" s="53" t="s">
        <v>87</v>
      </c>
      <c r="B28" s="161">
        <f>((7/30)/12)</f>
        <v>1.9444444444444445E-2</v>
      </c>
      <c r="C28" s="23" t="s">
        <v>208</v>
      </c>
      <c r="D28" s="79">
        <f t="shared" si="1"/>
        <v>42.95</v>
      </c>
      <c r="E28" s="77" t="s">
        <v>88</v>
      </c>
    </row>
    <row r="29" spans="1:5" x14ac:dyDescent="0.2">
      <c r="A29" s="53" t="s">
        <v>89</v>
      </c>
      <c r="B29" s="161">
        <f>((5/30)/12)</f>
        <v>1.3888888888888888E-2</v>
      </c>
      <c r="C29" s="23" t="s">
        <v>209</v>
      </c>
      <c r="D29" s="79">
        <f t="shared" si="1"/>
        <v>30.68</v>
      </c>
      <c r="E29" s="77" t="s">
        <v>90</v>
      </c>
    </row>
    <row r="30" spans="1:5" x14ac:dyDescent="0.2">
      <c r="A30" s="53" t="s">
        <v>91</v>
      </c>
      <c r="B30" s="161">
        <f>((15/30)/12)*1%</f>
        <v>4.1666666666666664E-4</v>
      </c>
      <c r="C30" s="23" t="s">
        <v>211</v>
      </c>
      <c r="D30" s="79">
        <f t="shared" si="1"/>
        <v>0.92</v>
      </c>
      <c r="E30" s="77" t="s">
        <v>92</v>
      </c>
    </row>
    <row r="31" spans="1:5" x14ac:dyDescent="0.2">
      <c r="A31" s="53" t="s">
        <v>93</v>
      </c>
      <c r="B31" s="161">
        <f>(1/30)/12</f>
        <v>2.7777777777777779E-3</v>
      </c>
      <c r="C31" s="82" t="s">
        <v>210</v>
      </c>
      <c r="D31" s="79">
        <f t="shared" si="1"/>
        <v>6.13</v>
      </c>
      <c r="E31" s="77" t="s">
        <v>94</v>
      </c>
    </row>
    <row r="32" spans="1:5" ht="25.5" x14ac:dyDescent="0.2">
      <c r="A32" s="53" t="s">
        <v>95</v>
      </c>
      <c r="B32" s="161">
        <f>((1+1/3)/12)*1.5%*(4/12)</f>
        <v>5.5555555555555545E-4</v>
      </c>
      <c r="C32" s="63" t="s">
        <v>240</v>
      </c>
      <c r="D32" s="79">
        <f t="shared" si="1"/>
        <v>1.22</v>
      </c>
      <c r="E32" s="83" t="s">
        <v>96</v>
      </c>
    </row>
    <row r="33" spans="1:5" ht="14.25" x14ac:dyDescent="0.2">
      <c r="A33" s="53" t="s">
        <v>97</v>
      </c>
      <c r="B33" s="161">
        <f>((5/30)/12)*1.5%</f>
        <v>2.0833333333333332E-4</v>
      </c>
      <c r="C33" s="23" t="s">
        <v>214</v>
      </c>
      <c r="D33" s="79">
        <f t="shared" si="1"/>
        <v>0.46</v>
      </c>
      <c r="E33" s="77" t="s">
        <v>98</v>
      </c>
    </row>
    <row r="34" spans="1:5" ht="13.5" thickBot="1" x14ac:dyDescent="0.25">
      <c r="A34" s="65" t="s">
        <v>99</v>
      </c>
      <c r="B34" s="165">
        <f>SUM(B26:B33)</f>
        <v>0.23173611111111109</v>
      </c>
      <c r="C34" s="66" t="s">
        <v>53</v>
      </c>
      <c r="D34" s="67">
        <f>SUM(D26:D33)</f>
        <v>511.89</v>
      </c>
      <c r="E34" s="69" t="s">
        <v>34</v>
      </c>
    </row>
    <row r="35" spans="1:5" ht="14.25" x14ac:dyDescent="0.2">
      <c r="A35" s="50" t="s">
        <v>100</v>
      </c>
      <c r="B35" s="17"/>
      <c r="C35" s="17" t="s">
        <v>101</v>
      </c>
      <c r="D35" s="17"/>
      <c r="E35" s="51"/>
    </row>
    <row r="36" spans="1:5" ht="14.25" x14ac:dyDescent="0.2">
      <c r="A36" s="50" t="s">
        <v>102</v>
      </c>
      <c r="B36" s="17"/>
      <c r="C36" s="17" t="s">
        <v>241</v>
      </c>
      <c r="D36" s="84"/>
      <c r="E36" s="51"/>
    </row>
    <row r="37" spans="1:5" ht="15" thickBot="1" x14ac:dyDescent="0.25">
      <c r="A37" s="50" t="s">
        <v>103</v>
      </c>
      <c r="B37" s="17"/>
      <c r="C37" s="17" t="s">
        <v>104</v>
      </c>
      <c r="D37" s="84"/>
      <c r="E37" s="51"/>
    </row>
    <row r="38" spans="1:5" x14ac:dyDescent="0.2">
      <c r="A38" s="52" t="s">
        <v>105</v>
      </c>
      <c r="B38" s="45" t="s">
        <v>202</v>
      </c>
      <c r="C38" s="45" t="s">
        <v>35</v>
      </c>
      <c r="D38" s="45" t="s">
        <v>36</v>
      </c>
      <c r="E38" s="46" t="s">
        <v>37</v>
      </c>
    </row>
    <row r="39" spans="1:5" x14ac:dyDescent="0.2">
      <c r="A39" s="53" t="s">
        <v>106</v>
      </c>
      <c r="B39" s="164">
        <f>25%*(1/12)</f>
        <v>2.0833333333333332E-2</v>
      </c>
      <c r="C39" s="23" t="s">
        <v>215</v>
      </c>
      <c r="D39" s="79">
        <f>TRUNC(B39*$D$11,2)</f>
        <v>46.02</v>
      </c>
      <c r="E39" s="77" t="s">
        <v>107</v>
      </c>
    </row>
    <row r="40" spans="1:5" x14ac:dyDescent="0.2">
      <c r="A40" s="53" t="s">
        <v>108</v>
      </c>
      <c r="B40" s="161">
        <f>25%*(1/12)</f>
        <v>2.0833333333333332E-2</v>
      </c>
      <c r="C40" s="23" t="s">
        <v>215</v>
      </c>
      <c r="D40" s="79">
        <f>TRUNC(B40*$D$11,2)</f>
        <v>46.02</v>
      </c>
      <c r="E40" s="77" t="s">
        <v>109</v>
      </c>
    </row>
    <row r="41" spans="1:5" x14ac:dyDescent="0.2">
      <c r="A41" s="53" t="s">
        <v>110</v>
      </c>
      <c r="B41" s="161">
        <f>40%*8%</f>
        <v>3.2000000000000001E-2</v>
      </c>
      <c r="C41" s="23" t="s">
        <v>212</v>
      </c>
      <c r="D41" s="79">
        <f>TRUNC(B41*$D$11,2)</f>
        <v>70.680000000000007</v>
      </c>
      <c r="E41" s="77" t="s">
        <v>111</v>
      </c>
    </row>
    <row r="42" spans="1:5" ht="14.25" x14ac:dyDescent="0.2">
      <c r="A42" s="53" t="s">
        <v>112</v>
      </c>
      <c r="B42" s="161">
        <f>10%*8%</f>
        <v>8.0000000000000002E-3</v>
      </c>
      <c r="C42" s="23" t="s">
        <v>213</v>
      </c>
      <c r="D42" s="79">
        <f>TRUNC(B42*$D$11,2)</f>
        <v>17.670000000000002</v>
      </c>
      <c r="E42" s="77" t="s">
        <v>113</v>
      </c>
    </row>
    <row r="43" spans="1:5" ht="13.5" thickBot="1" x14ac:dyDescent="0.25">
      <c r="A43" s="65" t="s">
        <v>114</v>
      </c>
      <c r="B43" s="165">
        <f>SUM(B39:B42)</f>
        <v>8.1666666666666665E-2</v>
      </c>
      <c r="C43" s="66" t="s">
        <v>53</v>
      </c>
      <c r="D43" s="67">
        <f>SUM(D39:D42)</f>
        <v>180.39000000000004</v>
      </c>
      <c r="E43" s="69" t="s">
        <v>34</v>
      </c>
    </row>
    <row r="44" spans="1:5" x14ac:dyDescent="0.2">
      <c r="A44" s="50" t="s">
        <v>115</v>
      </c>
      <c r="B44" s="17"/>
      <c r="C44" s="17" t="s">
        <v>116</v>
      </c>
      <c r="D44" s="17"/>
      <c r="E44" s="51"/>
    </row>
    <row r="45" spans="1:5" ht="27" customHeight="1" thickBot="1" x14ac:dyDescent="0.25">
      <c r="A45" s="198" t="s">
        <v>117</v>
      </c>
      <c r="B45" s="199"/>
      <c r="C45" s="17" t="s">
        <v>118</v>
      </c>
      <c r="D45" s="85"/>
      <c r="E45" s="86"/>
    </row>
    <row r="46" spans="1:5" x14ac:dyDescent="0.2">
      <c r="A46" s="52" t="s">
        <v>119</v>
      </c>
      <c r="B46" s="45" t="s">
        <v>202</v>
      </c>
      <c r="C46" s="45" t="s">
        <v>35</v>
      </c>
      <c r="D46" s="45" t="s">
        <v>36</v>
      </c>
      <c r="E46" s="46" t="s">
        <v>37</v>
      </c>
    </row>
    <row r="47" spans="1:5" x14ac:dyDescent="0.2">
      <c r="A47" s="53" t="s">
        <v>120</v>
      </c>
      <c r="B47" s="164">
        <f>B23*B34</f>
        <v>7.8326805555555559E-2</v>
      </c>
      <c r="C47" s="23" t="s">
        <v>205</v>
      </c>
      <c r="D47" s="79">
        <f>TRUNC(B47*$D$11,2)</f>
        <v>173.02</v>
      </c>
      <c r="E47" s="56" t="s">
        <v>34</v>
      </c>
    </row>
    <row r="48" spans="1:5" ht="13.5" thickBot="1" x14ac:dyDescent="0.25">
      <c r="A48" s="65" t="s">
        <v>122</v>
      </c>
      <c r="B48" s="165">
        <f>B47</f>
        <v>7.8326805555555559E-2</v>
      </c>
      <c r="C48" s="66" t="s">
        <v>53</v>
      </c>
      <c r="D48" s="67">
        <f>D47</f>
        <v>173.02</v>
      </c>
      <c r="E48" s="69" t="s">
        <v>34</v>
      </c>
    </row>
    <row r="49" spans="1:5" ht="13.5" thickBot="1" x14ac:dyDescent="0.25">
      <c r="A49" s="50"/>
      <c r="B49" s="17"/>
      <c r="C49" s="17"/>
      <c r="D49" s="17"/>
      <c r="E49" s="51"/>
    </row>
    <row r="50" spans="1:5" x14ac:dyDescent="0.2">
      <c r="A50" s="52" t="s">
        <v>123</v>
      </c>
      <c r="B50" s="45" t="s">
        <v>202</v>
      </c>
      <c r="C50" s="45" t="s">
        <v>124</v>
      </c>
      <c r="D50" s="45" t="s">
        <v>36</v>
      </c>
      <c r="E50" s="46" t="s">
        <v>37</v>
      </c>
    </row>
    <row r="51" spans="1:5" x14ac:dyDescent="0.2">
      <c r="A51" s="87" t="s">
        <v>125</v>
      </c>
      <c r="B51" s="162">
        <f>B16*B39</f>
        <v>1.6666666666666666E-3</v>
      </c>
      <c r="C51" s="23" t="s">
        <v>126</v>
      </c>
      <c r="D51" s="79">
        <f>TRUNC(B51*$D$11,2)</f>
        <v>3.68</v>
      </c>
      <c r="E51" s="77" t="s">
        <v>127</v>
      </c>
    </row>
    <row r="52" spans="1:5" ht="25.5" x14ac:dyDescent="0.2">
      <c r="A52" s="78" t="s">
        <v>128</v>
      </c>
      <c r="B52" s="161">
        <f>B16*B30</f>
        <v>3.3333333333333335E-5</v>
      </c>
      <c r="C52" s="23" t="s">
        <v>129</v>
      </c>
      <c r="D52" s="79">
        <f>TRUNC(B52*$D$11,2)</f>
        <v>7.0000000000000007E-2</v>
      </c>
      <c r="E52" s="56" t="s">
        <v>34</v>
      </c>
    </row>
    <row r="53" spans="1:5" ht="13.5" thickBot="1" x14ac:dyDescent="0.25">
      <c r="A53" s="65" t="s">
        <v>130</v>
      </c>
      <c r="B53" s="165">
        <f>SUM(B51:B52)</f>
        <v>1.6999999999999999E-3</v>
      </c>
      <c r="C53" s="66" t="s">
        <v>53</v>
      </c>
      <c r="D53" s="81">
        <f>SUM(D51:D52)</f>
        <v>3.75</v>
      </c>
      <c r="E53" s="69" t="s">
        <v>34</v>
      </c>
    </row>
    <row r="54" spans="1:5" ht="27" customHeight="1" thickBot="1" x14ac:dyDescent="0.25">
      <c r="A54" s="200" t="s">
        <v>131</v>
      </c>
      <c r="B54" s="201"/>
      <c r="C54" s="201"/>
      <c r="D54" s="201"/>
      <c r="E54" s="202"/>
    </row>
    <row r="55" spans="1:5" x14ac:dyDescent="0.2">
      <c r="A55" s="52" t="s">
        <v>132</v>
      </c>
      <c r="B55" s="45" t="s">
        <v>202</v>
      </c>
      <c r="C55" s="45" t="s">
        <v>35</v>
      </c>
      <c r="D55" s="45" t="s">
        <v>36</v>
      </c>
      <c r="E55" s="46" t="s">
        <v>37</v>
      </c>
    </row>
    <row r="56" spans="1:5" ht="25.5" x14ac:dyDescent="0.2">
      <c r="A56" s="78" t="s">
        <v>133</v>
      </c>
      <c r="B56" s="88">
        <f>B23*(13/12)*(4/12)*1.5%</f>
        <v>1.8308333333333336E-3</v>
      </c>
      <c r="C56" s="88" t="s">
        <v>244</v>
      </c>
      <c r="D56" s="79">
        <f>TRUNC(B56*$D$11,2)</f>
        <v>4.04</v>
      </c>
      <c r="E56" s="83" t="s">
        <v>242</v>
      </c>
    </row>
    <row r="57" spans="1:5" ht="13.5" thickBot="1" x14ac:dyDescent="0.25">
      <c r="A57" s="65" t="s">
        <v>134</v>
      </c>
      <c r="B57" s="165">
        <f>B56</f>
        <v>1.8308333333333336E-3</v>
      </c>
      <c r="C57" s="66" t="s">
        <v>53</v>
      </c>
      <c r="D57" s="67">
        <f>D56</f>
        <v>4.04</v>
      </c>
      <c r="E57" s="69" t="s">
        <v>34</v>
      </c>
    </row>
    <row r="58" spans="1:5" ht="13.5" thickBot="1" x14ac:dyDescent="0.25">
      <c r="A58" s="50"/>
      <c r="B58" s="17"/>
      <c r="C58" s="17"/>
      <c r="D58" s="17"/>
      <c r="E58" s="51"/>
    </row>
    <row r="59" spans="1:5" ht="13.5" thickBot="1" x14ac:dyDescent="0.25">
      <c r="A59" s="89" t="s">
        <v>135</v>
      </c>
      <c r="B59" s="166">
        <f>B23+B34+B43+B48+B53+B57</f>
        <v>0.73326041666666686</v>
      </c>
      <c r="C59" s="91" t="s">
        <v>53</v>
      </c>
      <c r="D59" s="92">
        <f>SUM(D23,D34,D43,D48,D53,D57)</f>
        <v>1619.72</v>
      </c>
      <c r="E59" s="93" t="s">
        <v>34</v>
      </c>
    </row>
    <row r="60" spans="1:5" ht="13.5" thickBot="1" x14ac:dyDescent="0.25">
      <c r="A60" s="50"/>
      <c r="B60" s="17"/>
      <c r="C60" s="17"/>
      <c r="D60" s="94"/>
      <c r="E60" s="51"/>
    </row>
    <row r="61" spans="1:5" x14ac:dyDescent="0.2">
      <c r="A61" s="52" t="s">
        <v>136</v>
      </c>
      <c r="B61" s="45" t="s">
        <v>36</v>
      </c>
      <c r="C61" s="45" t="s">
        <v>35</v>
      </c>
      <c r="D61" s="45" t="s">
        <v>36</v>
      </c>
      <c r="E61" s="46" t="s">
        <v>37</v>
      </c>
    </row>
    <row r="62" spans="1:5" x14ac:dyDescent="0.2">
      <c r="A62" s="154" t="s">
        <v>137</v>
      </c>
      <c r="B62" s="95">
        <f>ROUNDUP('Quadro resumo'!$C$27/12,2)</f>
        <v>0</v>
      </c>
      <c r="C62" s="96" t="s">
        <v>138</v>
      </c>
      <c r="D62" s="55">
        <f>TRUNC(B62,2)</f>
        <v>0</v>
      </c>
      <c r="E62" s="77" t="s">
        <v>139</v>
      </c>
    </row>
    <row r="63" spans="1:5" x14ac:dyDescent="0.2">
      <c r="A63" s="154" t="s">
        <v>140</v>
      </c>
      <c r="B63" s="97">
        <f>ROUNDUP(('Quadro resumo'!E22/12)/14,2)</f>
        <v>0</v>
      </c>
      <c r="C63" s="96" t="s">
        <v>225</v>
      </c>
      <c r="D63" s="55">
        <f>B63</f>
        <v>0</v>
      </c>
      <c r="E63" s="77" t="s">
        <v>139</v>
      </c>
    </row>
    <row r="64" spans="1:5" ht="25.5" x14ac:dyDescent="0.2">
      <c r="A64" s="154" t="s">
        <v>141</v>
      </c>
      <c r="B64" s="97">
        <f>TRUNC(19*15,2)</f>
        <v>285</v>
      </c>
      <c r="C64" s="96" t="s">
        <v>230</v>
      </c>
      <c r="D64" s="55">
        <f>B64</f>
        <v>285</v>
      </c>
      <c r="E64" s="64" t="s">
        <v>229</v>
      </c>
    </row>
    <row r="65" spans="1:5" ht="40.5" customHeight="1" x14ac:dyDescent="0.2">
      <c r="A65" s="154" t="s">
        <v>142</v>
      </c>
      <c r="B65" s="97">
        <f>TRUNC(4.5*15*4,2)</f>
        <v>270</v>
      </c>
      <c r="C65" s="96" t="s">
        <v>231</v>
      </c>
      <c r="D65" s="55">
        <f t="shared" ref="D65:D72" si="2">B65</f>
        <v>270</v>
      </c>
      <c r="E65" s="64" t="s">
        <v>232</v>
      </c>
    </row>
    <row r="66" spans="1:5" x14ac:dyDescent="0.2">
      <c r="A66" s="169" t="s">
        <v>143</v>
      </c>
      <c r="B66" s="99">
        <f>'Quadro resumo'!C34*3</f>
        <v>0</v>
      </c>
      <c r="C66" s="23" t="str">
        <f>'Quadro resumo'!C33 &amp;" * 3"</f>
        <v>Valor * 3</v>
      </c>
      <c r="D66" s="100">
        <f>B66</f>
        <v>0</v>
      </c>
      <c r="E66" s="64" t="s">
        <v>221</v>
      </c>
    </row>
    <row r="67" spans="1:5" x14ac:dyDescent="0.2">
      <c r="A67" s="170" t="s">
        <v>184</v>
      </c>
      <c r="B67" s="99">
        <f>ROUNDUP(('Quadro resumo'!C35*3)/12,2)</f>
        <v>0</v>
      </c>
      <c r="C67" s="54" t="str">
        <f>"Valor * 3 / 12"</f>
        <v>Valor * 3 / 12</v>
      </c>
      <c r="D67" s="100">
        <f>B67</f>
        <v>0</v>
      </c>
      <c r="E67" s="64" t="s">
        <v>221</v>
      </c>
    </row>
    <row r="68" spans="1:5" x14ac:dyDescent="0.2">
      <c r="A68" s="155" t="s">
        <v>189</v>
      </c>
      <c r="B68" s="143">
        <v>14.48</v>
      </c>
      <c r="C68" s="54" t="s">
        <v>34</v>
      </c>
      <c r="D68" s="150">
        <f>B68</f>
        <v>14.48</v>
      </c>
      <c r="E68" s="64" t="s">
        <v>190</v>
      </c>
    </row>
    <row r="69" spans="1:5" x14ac:dyDescent="0.2">
      <c r="A69" s="154" t="s">
        <v>20</v>
      </c>
      <c r="B69" s="122">
        <f>ROUNDUP('Quadro resumo'!$C$28/12,2)</f>
        <v>0</v>
      </c>
      <c r="C69" s="23"/>
      <c r="D69" s="100">
        <f>TRUNC(B69,2)</f>
        <v>0</v>
      </c>
      <c r="E69" s="64" t="s">
        <v>191</v>
      </c>
    </row>
    <row r="70" spans="1:5" x14ac:dyDescent="0.2">
      <c r="A70" s="154" t="s">
        <v>144</v>
      </c>
      <c r="B70" s="101">
        <v>119.69</v>
      </c>
      <c r="C70" s="102" t="s">
        <v>34</v>
      </c>
      <c r="D70" s="100">
        <f>TRUNC(B70,2)</f>
        <v>119.69</v>
      </c>
      <c r="E70" s="64" t="s">
        <v>192</v>
      </c>
    </row>
    <row r="71" spans="1:5" ht="12.75" customHeight="1" x14ac:dyDescent="0.2">
      <c r="A71" s="154" t="s">
        <v>145</v>
      </c>
      <c r="B71" s="101">
        <v>4</v>
      </c>
      <c r="C71" s="102" t="s">
        <v>34</v>
      </c>
      <c r="D71" s="100">
        <f>TRUNC(B71,2)</f>
        <v>4</v>
      </c>
      <c r="E71" s="64" t="s">
        <v>246</v>
      </c>
    </row>
    <row r="72" spans="1:5" x14ac:dyDescent="0.2">
      <c r="A72" s="156" t="s">
        <v>146</v>
      </c>
      <c r="B72" s="98">
        <f>IF(B65&gt;=TRUNC(0.06*D9,2),TRUNC(-0.06*D9,2),-B65)</f>
        <v>-101.95</v>
      </c>
      <c r="C72" s="23" t="s">
        <v>147</v>
      </c>
      <c r="D72" s="76">
        <f t="shared" si="2"/>
        <v>-101.95</v>
      </c>
      <c r="E72" s="103" t="s">
        <v>148</v>
      </c>
    </row>
    <row r="73" spans="1:5" ht="25.5" customHeight="1" x14ac:dyDescent="0.2">
      <c r="A73" s="157" t="s">
        <v>188</v>
      </c>
      <c r="B73" s="104">
        <f>ROUNDUP('Quadro resumo'!C29/12,2)</f>
        <v>0</v>
      </c>
      <c r="C73" s="54" t="s">
        <v>149</v>
      </c>
      <c r="D73" s="60">
        <f>B73</f>
        <v>0</v>
      </c>
      <c r="E73" s="62" t="s">
        <v>150</v>
      </c>
    </row>
    <row r="74" spans="1:5" ht="38.25" x14ac:dyDescent="0.2">
      <c r="A74" s="157" t="s">
        <v>179</v>
      </c>
      <c r="B74" s="104">
        <f>TRUNC('Quadro resumo'!C39,2)</f>
        <v>0</v>
      </c>
      <c r="C74" s="54" t="s">
        <v>149</v>
      </c>
      <c r="D74" s="60">
        <f>B74</f>
        <v>0</v>
      </c>
      <c r="E74" s="62" t="s">
        <v>180</v>
      </c>
    </row>
    <row r="75" spans="1:5" ht="13.5" thickBot="1" x14ac:dyDescent="0.25">
      <c r="A75" s="65" t="s">
        <v>151</v>
      </c>
      <c r="B75" s="80" t="s">
        <v>34</v>
      </c>
      <c r="C75" s="66" t="s">
        <v>53</v>
      </c>
      <c r="D75" s="67">
        <f>SUM(D62:D74)</f>
        <v>591.22</v>
      </c>
      <c r="E75" s="69" t="s">
        <v>34</v>
      </c>
    </row>
    <row r="76" spans="1:5" ht="13.5" thickBot="1" x14ac:dyDescent="0.25">
      <c r="A76" s="137"/>
      <c r="B76" s="138"/>
      <c r="C76" s="123"/>
      <c r="D76" s="139"/>
      <c r="E76" s="140"/>
    </row>
    <row r="77" spans="1:5" ht="12.75" customHeight="1" thickBot="1" x14ac:dyDescent="0.25">
      <c r="A77" s="108" t="s">
        <v>152</v>
      </c>
      <c r="B77" s="90" t="s">
        <v>34</v>
      </c>
      <c r="C77" s="90" t="s">
        <v>153</v>
      </c>
      <c r="D77" s="109">
        <f>SUM(D11,D59,D75)</f>
        <v>4420</v>
      </c>
      <c r="E77" s="93" t="s">
        <v>34</v>
      </c>
    </row>
    <row r="78" spans="1:5" ht="13.5" thickBot="1" x14ac:dyDescent="0.25">
      <c r="A78" s="110"/>
      <c r="B78" s="111"/>
      <c r="C78" s="111"/>
      <c r="D78" s="111"/>
      <c r="E78" s="112"/>
    </row>
    <row r="79" spans="1:5" x14ac:dyDescent="0.2">
      <c r="A79" s="52" t="s">
        <v>154</v>
      </c>
      <c r="B79" s="45" t="s">
        <v>202</v>
      </c>
      <c r="C79" s="45" t="s">
        <v>35</v>
      </c>
      <c r="D79" s="45" t="s">
        <v>36</v>
      </c>
      <c r="E79" s="46" t="s">
        <v>37</v>
      </c>
    </row>
    <row r="80" spans="1:5" ht="12.75" customHeight="1" x14ac:dyDescent="0.2">
      <c r="A80" s="53" t="s">
        <v>26</v>
      </c>
      <c r="B80" s="159">
        <f>'Quadro resumo'!C45</f>
        <v>0</v>
      </c>
      <c r="C80" s="189" t="s">
        <v>155</v>
      </c>
      <c r="D80" s="98">
        <f>TRUNC(B80*$D$77,2)</f>
        <v>0</v>
      </c>
      <c r="E80" s="113" t="s">
        <v>34</v>
      </c>
    </row>
    <row r="81" spans="1:5" x14ac:dyDescent="0.2">
      <c r="A81" s="53" t="s">
        <v>27</v>
      </c>
      <c r="B81" s="159">
        <f>'Quadro resumo'!C46</f>
        <v>0</v>
      </c>
      <c r="C81" s="203"/>
      <c r="D81" s="98">
        <f>TRUNC(B81*$D$77,2)</f>
        <v>0</v>
      </c>
      <c r="E81" s="113" t="s">
        <v>34</v>
      </c>
    </row>
    <row r="82" spans="1:5" ht="13.5" thickBot="1" x14ac:dyDescent="0.25">
      <c r="A82" s="65" t="s">
        <v>156</v>
      </c>
      <c r="B82" s="165">
        <f>SUM(B80:B81)</f>
        <v>0</v>
      </c>
      <c r="C82" s="66" t="s">
        <v>53</v>
      </c>
      <c r="D82" s="67">
        <f>SUM(D80:D81)</f>
        <v>0</v>
      </c>
      <c r="E82" s="69" t="s">
        <v>34</v>
      </c>
    </row>
    <row r="83" spans="1:5" ht="13.5" thickBot="1" x14ac:dyDescent="0.25">
      <c r="A83" s="114"/>
      <c r="B83" s="17"/>
      <c r="C83" s="17"/>
      <c r="D83" s="17"/>
      <c r="E83" s="51"/>
    </row>
    <row r="84" spans="1:5" x14ac:dyDescent="0.2">
      <c r="A84" s="115" t="s">
        <v>157</v>
      </c>
      <c r="B84" s="45" t="s">
        <v>202</v>
      </c>
      <c r="C84" s="45" t="s">
        <v>35</v>
      </c>
      <c r="D84" s="45" t="s">
        <v>36</v>
      </c>
      <c r="E84" s="46" t="s">
        <v>37</v>
      </c>
    </row>
    <row r="85" spans="1:5" x14ac:dyDescent="0.2">
      <c r="A85" s="53" t="s">
        <v>29</v>
      </c>
      <c r="B85" s="159">
        <f>'Quadro resumo'!C52</f>
        <v>0</v>
      </c>
      <c r="C85" s="189" t="s">
        <v>158</v>
      </c>
      <c r="D85" s="79">
        <f>TRUNC((($D$77+$D$82)/(1-(($B$85+$B$86+$B$87))))*(B85),2)</f>
        <v>0</v>
      </c>
      <c r="E85" s="113" t="s">
        <v>34</v>
      </c>
    </row>
    <row r="86" spans="1:5" ht="12.75" customHeight="1" x14ac:dyDescent="0.2">
      <c r="A86" s="53" t="s">
        <v>30</v>
      </c>
      <c r="B86" s="159">
        <f>'Quadro resumo'!C53</f>
        <v>0</v>
      </c>
      <c r="C86" s="190"/>
      <c r="D86" s="79">
        <f>TRUNC((($D$77+$D$82)/(1-(($B$85+$B$86+$B$87))))*(B86),2)</f>
        <v>0</v>
      </c>
      <c r="E86" s="113" t="s">
        <v>34</v>
      </c>
    </row>
    <row r="87" spans="1:5" x14ac:dyDescent="0.2">
      <c r="A87" s="53" t="s">
        <v>31</v>
      </c>
      <c r="B87" s="159">
        <f>'Quadro resumo'!C54</f>
        <v>0</v>
      </c>
      <c r="C87" s="191"/>
      <c r="D87" s="79">
        <f>TRUNC((($D$77+$D$82)/(1-(($B$85+$B$86+$B$87))))*(B87),2)</f>
        <v>0</v>
      </c>
      <c r="E87" s="113" t="s">
        <v>34</v>
      </c>
    </row>
    <row r="88" spans="1:5" ht="13.5" thickBot="1" x14ac:dyDescent="0.25">
      <c r="A88" s="65" t="s">
        <v>159</v>
      </c>
      <c r="B88" s="165">
        <f>SUM(B85:B87)</f>
        <v>0</v>
      </c>
      <c r="C88" s="66" t="s">
        <v>53</v>
      </c>
      <c r="D88" s="67">
        <f>SUM(D85:D87)</f>
        <v>0</v>
      </c>
      <c r="E88" s="69" t="s">
        <v>34</v>
      </c>
    </row>
    <row r="89" spans="1:5" ht="13.5" thickBot="1" x14ac:dyDescent="0.25">
      <c r="A89" s="50"/>
      <c r="B89" s="17"/>
      <c r="C89" s="17"/>
      <c r="D89" s="17"/>
      <c r="E89" s="51"/>
    </row>
    <row r="90" spans="1:5" ht="13.5" thickBot="1" x14ac:dyDescent="0.25">
      <c r="A90" s="116" t="s">
        <v>160</v>
      </c>
      <c r="B90" s="117"/>
      <c r="C90" s="45" t="s">
        <v>35</v>
      </c>
      <c r="D90" s="117" t="s">
        <v>161</v>
      </c>
      <c r="E90" s="46" t="s">
        <v>162</v>
      </c>
    </row>
    <row r="91" spans="1:5" ht="13.5" thickBot="1" x14ac:dyDescent="0.25">
      <c r="A91" s="118"/>
      <c r="B91" s="119"/>
      <c r="C91" s="119" t="s">
        <v>163</v>
      </c>
      <c r="D91" s="120">
        <f>SUM(D77,D82,D88)</f>
        <v>4420</v>
      </c>
      <c r="E91" s="121">
        <f>D91*12</f>
        <v>53040</v>
      </c>
    </row>
  </sheetData>
  <sheetProtection algorithmName="SHA-512" hashValue="mpctnoqtZ+6ihLylp2DOCtxdy4vFRyTXQ5KaWCXGMvzT/OsT6by2YboKVYTzH2EbAUHnBmVfrP3gKKdH8lY9Yw==" saltValue="4CGvIWE2OIbckQ3LWaB4gw==" spinCount="100000" sheet="1" objects="1" scenarios="1"/>
  <mergeCells count="6">
    <mergeCell ref="C85:C87"/>
    <mergeCell ref="A1:E1"/>
    <mergeCell ref="A3:E3"/>
    <mergeCell ref="A45:B45"/>
    <mergeCell ref="A54:E54"/>
    <mergeCell ref="C80:C81"/>
  </mergeCells>
  <pageMargins left="0.511811024" right="0.511811024" top="0.78740157499999996" bottom="0.78740157499999996" header="0.31496062000000002" footer="0.31496062000000002"/>
  <ignoredErrors>
    <ignoredError sqref="D7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>
      <selection activeCell="B96" sqref="B96"/>
    </sheetView>
  </sheetViews>
  <sheetFormatPr defaultRowHeight="15" x14ac:dyDescent="0.25"/>
  <cols>
    <col min="1" max="1" width="75.5703125" bestFit="1" customWidth="1"/>
    <col min="2" max="2" width="16.85546875" bestFit="1" customWidth="1"/>
    <col min="3" max="3" width="40" customWidth="1"/>
    <col min="4" max="4" width="13.140625" bestFit="1" customWidth="1"/>
    <col min="5" max="5" width="44.5703125" bestFit="1" customWidth="1"/>
    <col min="257" max="257" width="75.5703125" bestFit="1" customWidth="1"/>
    <col min="258" max="258" width="16.85546875" bestFit="1" customWidth="1"/>
    <col min="259" max="259" width="40" customWidth="1"/>
    <col min="260" max="260" width="13.140625" bestFit="1" customWidth="1"/>
    <col min="261" max="261" width="44.5703125" bestFit="1" customWidth="1"/>
    <col min="513" max="513" width="75.5703125" bestFit="1" customWidth="1"/>
    <col min="514" max="514" width="16.85546875" bestFit="1" customWidth="1"/>
    <col min="515" max="515" width="40" customWidth="1"/>
    <col min="516" max="516" width="13.140625" bestFit="1" customWidth="1"/>
    <col min="517" max="517" width="44.5703125" bestFit="1" customWidth="1"/>
    <col min="769" max="769" width="75.5703125" bestFit="1" customWidth="1"/>
    <col min="770" max="770" width="16.85546875" bestFit="1" customWidth="1"/>
    <col min="771" max="771" width="40" customWidth="1"/>
    <col min="772" max="772" width="13.140625" bestFit="1" customWidth="1"/>
    <col min="773" max="773" width="44.5703125" bestFit="1" customWidth="1"/>
    <col min="1025" max="1025" width="75.5703125" bestFit="1" customWidth="1"/>
    <col min="1026" max="1026" width="16.85546875" bestFit="1" customWidth="1"/>
    <col min="1027" max="1027" width="40" customWidth="1"/>
    <col min="1028" max="1028" width="13.140625" bestFit="1" customWidth="1"/>
    <col min="1029" max="1029" width="44.5703125" bestFit="1" customWidth="1"/>
    <col min="1281" max="1281" width="75.5703125" bestFit="1" customWidth="1"/>
    <col min="1282" max="1282" width="16.85546875" bestFit="1" customWidth="1"/>
    <col min="1283" max="1283" width="40" customWidth="1"/>
    <col min="1284" max="1284" width="13.140625" bestFit="1" customWidth="1"/>
    <col min="1285" max="1285" width="44.5703125" bestFit="1" customWidth="1"/>
    <col min="1537" max="1537" width="75.5703125" bestFit="1" customWidth="1"/>
    <col min="1538" max="1538" width="16.85546875" bestFit="1" customWidth="1"/>
    <col min="1539" max="1539" width="40" customWidth="1"/>
    <col min="1540" max="1540" width="13.140625" bestFit="1" customWidth="1"/>
    <col min="1541" max="1541" width="44.5703125" bestFit="1" customWidth="1"/>
    <col min="1793" max="1793" width="75.5703125" bestFit="1" customWidth="1"/>
    <col min="1794" max="1794" width="16.85546875" bestFit="1" customWidth="1"/>
    <col min="1795" max="1795" width="40" customWidth="1"/>
    <col min="1796" max="1796" width="13.140625" bestFit="1" customWidth="1"/>
    <col min="1797" max="1797" width="44.5703125" bestFit="1" customWidth="1"/>
    <col min="2049" max="2049" width="75.5703125" bestFit="1" customWidth="1"/>
    <col min="2050" max="2050" width="16.85546875" bestFit="1" customWidth="1"/>
    <col min="2051" max="2051" width="40" customWidth="1"/>
    <col min="2052" max="2052" width="13.140625" bestFit="1" customWidth="1"/>
    <col min="2053" max="2053" width="44.5703125" bestFit="1" customWidth="1"/>
    <col min="2305" max="2305" width="75.5703125" bestFit="1" customWidth="1"/>
    <col min="2306" max="2306" width="16.85546875" bestFit="1" customWidth="1"/>
    <col min="2307" max="2307" width="40" customWidth="1"/>
    <col min="2308" max="2308" width="13.140625" bestFit="1" customWidth="1"/>
    <col min="2309" max="2309" width="44.5703125" bestFit="1" customWidth="1"/>
    <col min="2561" max="2561" width="75.5703125" bestFit="1" customWidth="1"/>
    <col min="2562" max="2562" width="16.85546875" bestFit="1" customWidth="1"/>
    <col min="2563" max="2563" width="40" customWidth="1"/>
    <col min="2564" max="2564" width="13.140625" bestFit="1" customWidth="1"/>
    <col min="2565" max="2565" width="44.5703125" bestFit="1" customWidth="1"/>
    <col min="2817" max="2817" width="75.5703125" bestFit="1" customWidth="1"/>
    <col min="2818" max="2818" width="16.85546875" bestFit="1" customWidth="1"/>
    <col min="2819" max="2819" width="40" customWidth="1"/>
    <col min="2820" max="2820" width="13.140625" bestFit="1" customWidth="1"/>
    <col min="2821" max="2821" width="44.5703125" bestFit="1" customWidth="1"/>
    <col min="3073" max="3073" width="75.5703125" bestFit="1" customWidth="1"/>
    <col min="3074" max="3074" width="16.85546875" bestFit="1" customWidth="1"/>
    <col min="3075" max="3075" width="40" customWidth="1"/>
    <col min="3076" max="3076" width="13.140625" bestFit="1" customWidth="1"/>
    <col min="3077" max="3077" width="44.5703125" bestFit="1" customWidth="1"/>
    <col min="3329" max="3329" width="75.5703125" bestFit="1" customWidth="1"/>
    <col min="3330" max="3330" width="16.85546875" bestFit="1" customWidth="1"/>
    <col min="3331" max="3331" width="40" customWidth="1"/>
    <col min="3332" max="3332" width="13.140625" bestFit="1" customWidth="1"/>
    <col min="3333" max="3333" width="44.5703125" bestFit="1" customWidth="1"/>
    <col min="3585" max="3585" width="75.5703125" bestFit="1" customWidth="1"/>
    <col min="3586" max="3586" width="16.85546875" bestFit="1" customWidth="1"/>
    <col min="3587" max="3587" width="40" customWidth="1"/>
    <col min="3588" max="3588" width="13.140625" bestFit="1" customWidth="1"/>
    <col min="3589" max="3589" width="44.5703125" bestFit="1" customWidth="1"/>
    <col min="3841" max="3841" width="75.5703125" bestFit="1" customWidth="1"/>
    <col min="3842" max="3842" width="16.85546875" bestFit="1" customWidth="1"/>
    <col min="3843" max="3843" width="40" customWidth="1"/>
    <col min="3844" max="3844" width="13.140625" bestFit="1" customWidth="1"/>
    <col min="3845" max="3845" width="44.5703125" bestFit="1" customWidth="1"/>
    <col min="4097" max="4097" width="75.5703125" bestFit="1" customWidth="1"/>
    <col min="4098" max="4098" width="16.85546875" bestFit="1" customWidth="1"/>
    <col min="4099" max="4099" width="40" customWidth="1"/>
    <col min="4100" max="4100" width="13.140625" bestFit="1" customWidth="1"/>
    <col min="4101" max="4101" width="44.5703125" bestFit="1" customWidth="1"/>
    <col min="4353" max="4353" width="75.5703125" bestFit="1" customWidth="1"/>
    <col min="4354" max="4354" width="16.85546875" bestFit="1" customWidth="1"/>
    <col min="4355" max="4355" width="40" customWidth="1"/>
    <col min="4356" max="4356" width="13.140625" bestFit="1" customWidth="1"/>
    <col min="4357" max="4357" width="44.5703125" bestFit="1" customWidth="1"/>
    <col min="4609" max="4609" width="75.5703125" bestFit="1" customWidth="1"/>
    <col min="4610" max="4610" width="16.85546875" bestFit="1" customWidth="1"/>
    <col min="4611" max="4611" width="40" customWidth="1"/>
    <col min="4612" max="4612" width="13.140625" bestFit="1" customWidth="1"/>
    <col min="4613" max="4613" width="44.5703125" bestFit="1" customWidth="1"/>
    <col min="4865" max="4865" width="75.5703125" bestFit="1" customWidth="1"/>
    <col min="4866" max="4866" width="16.85546875" bestFit="1" customWidth="1"/>
    <col min="4867" max="4867" width="40" customWidth="1"/>
    <col min="4868" max="4868" width="13.140625" bestFit="1" customWidth="1"/>
    <col min="4869" max="4869" width="44.5703125" bestFit="1" customWidth="1"/>
    <col min="5121" max="5121" width="75.5703125" bestFit="1" customWidth="1"/>
    <col min="5122" max="5122" width="16.85546875" bestFit="1" customWidth="1"/>
    <col min="5123" max="5123" width="40" customWidth="1"/>
    <col min="5124" max="5124" width="13.140625" bestFit="1" customWidth="1"/>
    <col min="5125" max="5125" width="44.5703125" bestFit="1" customWidth="1"/>
    <col min="5377" max="5377" width="75.5703125" bestFit="1" customWidth="1"/>
    <col min="5378" max="5378" width="16.85546875" bestFit="1" customWidth="1"/>
    <col min="5379" max="5379" width="40" customWidth="1"/>
    <col min="5380" max="5380" width="13.140625" bestFit="1" customWidth="1"/>
    <col min="5381" max="5381" width="44.5703125" bestFit="1" customWidth="1"/>
    <col min="5633" max="5633" width="75.5703125" bestFit="1" customWidth="1"/>
    <col min="5634" max="5634" width="16.85546875" bestFit="1" customWidth="1"/>
    <col min="5635" max="5635" width="40" customWidth="1"/>
    <col min="5636" max="5636" width="13.140625" bestFit="1" customWidth="1"/>
    <col min="5637" max="5637" width="44.5703125" bestFit="1" customWidth="1"/>
    <col min="5889" max="5889" width="75.5703125" bestFit="1" customWidth="1"/>
    <col min="5890" max="5890" width="16.85546875" bestFit="1" customWidth="1"/>
    <col min="5891" max="5891" width="40" customWidth="1"/>
    <col min="5892" max="5892" width="13.140625" bestFit="1" customWidth="1"/>
    <col min="5893" max="5893" width="44.5703125" bestFit="1" customWidth="1"/>
    <col min="6145" max="6145" width="75.5703125" bestFit="1" customWidth="1"/>
    <col min="6146" max="6146" width="16.85546875" bestFit="1" customWidth="1"/>
    <col min="6147" max="6147" width="40" customWidth="1"/>
    <col min="6148" max="6148" width="13.140625" bestFit="1" customWidth="1"/>
    <col min="6149" max="6149" width="44.5703125" bestFit="1" customWidth="1"/>
    <col min="6401" max="6401" width="75.5703125" bestFit="1" customWidth="1"/>
    <col min="6402" max="6402" width="16.85546875" bestFit="1" customWidth="1"/>
    <col min="6403" max="6403" width="40" customWidth="1"/>
    <col min="6404" max="6404" width="13.140625" bestFit="1" customWidth="1"/>
    <col min="6405" max="6405" width="44.5703125" bestFit="1" customWidth="1"/>
    <col min="6657" max="6657" width="75.5703125" bestFit="1" customWidth="1"/>
    <col min="6658" max="6658" width="16.85546875" bestFit="1" customWidth="1"/>
    <col min="6659" max="6659" width="40" customWidth="1"/>
    <col min="6660" max="6660" width="13.140625" bestFit="1" customWidth="1"/>
    <col min="6661" max="6661" width="44.5703125" bestFit="1" customWidth="1"/>
    <col min="6913" max="6913" width="75.5703125" bestFit="1" customWidth="1"/>
    <col min="6914" max="6914" width="16.85546875" bestFit="1" customWidth="1"/>
    <col min="6915" max="6915" width="40" customWidth="1"/>
    <col min="6916" max="6916" width="13.140625" bestFit="1" customWidth="1"/>
    <col min="6917" max="6917" width="44.5703125" bestFit="1" customWidth="1"/>
    <col min="7169" max="7169" width="75.5703125" bestFit="1" customWidth="1"/>
    <col min="7170" max="7170" width="16.85546875" bestFit="1" customWidth="1"/>
    <col min="7171" max="7171" width="40" customWidth="1"/>
    <col min="7172" max="7172" width="13.140625" bestFit="1" customWidth="1"/>
    <col min="7173" max="7173" width="44.5703125" bestFit="1" customWidth="1"/>
    <col min="7425" max="7425" width="75.5703125" bestFit="1" customWidth="1"/>
    <col min="7426" max="7426" width="16.85546875" bestFit="1" customWidth="1"/>
    <col min="7427" max="7427" width="40" customWidth="1"/>
    <col min="7428" max="7428" width="13.140625" bestFit="1" customWidth="1"/>
    <col min="7429" max="7429" width="44.5703125" bestFit="1" customWidth="1"/>
    <col min="7681" max="7681" width="75.5703125" bestFit="1" customWidth="1"/>
    <col min="7682" max="7682" width="16.85546875" bestFit="1" customWidth="1"/>
    <col min="7683" max="7683" width="40" customWidth="1"/>
    <col min="7684" max="7684" width="13.140625" bestFit="1" customWidth="1"/>
    <col min="7685" max="7685" width="44.5703125" bestFit="1" customWidth="1"/>
    <col min="7937" max="7937" width="75.5703125" bestFit="1" customWidth="1"/>
    <col min="7938" max="7938" width="16.85546875" bestFit="1" customWidth="1"/>
    <col min="7939" max="7939" width="40" customWidth="1"/>
    <col min="7940" max="7940" width="13.140625" bestFit="1" customWidth="1"/>
    <col min="7941" max="7941" width="44.5703125" bestFit="1" customWidth="1"/>
    <col min="8193" max="8193" width="75.5703125" bestFit="1" customWidth="1"/>
    <col min="8194" max="8194" width="16.85546875" bestFit="1" customWidth="1"/>
    <col min="8195" max="8195" width="40" customWidth="1"/>
    <col min="8196" max="8196" width="13.140625" bestFit="1" customWidth="1"/>
    <col min="8197" max="8197" width="44.5703125" bestFit="1" customWidth="1"/>
    <col min="8449" max="8449" width="75.5703125" bestFit="1" customWidth="1"/>
    <col min="8450" max="8450" width="16.85546875" bestFit="1" customWidth="1"/>
    <col min="8451" max="8451" width="40" customWidth="1"/>
    <col min="8452" max="8452" width="13.140625" bestFit="1" customWidth="1"/>
    <col min="8453" max="8453" width="44.5703125" bestFit="1" customWidth="1"/>
    <col min="8705" max="8705" width="75.5703125" bestFit="1" customWidth="1"/>
    <col min="8706" max="8706" width="16.85546875" bestFit="1" customWidth="1"/>
    <col min="8707" max="8707" width="40" customWidth="1"/>
    <col min="8708" max="8708" width="13.140625" bestFit="1" customWidth="1"/>
    <col min="8709" max="8709" width="44.5703125" bestFit="1" customWidth="1"/>
    <col min="8961" max="8961" width="75.5703125" bestFit="1" customWidth="1"/>
    <col min="8962" max="8962" width="16.85546875" bestFit="1" customWidth="1"/>
    <col min="8963" max="8963" width="40" customWidth="1"/>
    <col min="8964" max="8964" width="13.140625" bestFit="1" customWidth="1"/>
    <col min="8965" max="8965" width="44.5703125" bestFit="1" customWidth="1"/>
    <col min="9217" max="9217" width="75.5703125" bestFit="1" customWidth="1"/>
    <col min="9218" max="9218" width="16.85546875" bestFit="1" customWidth="1"/>
    <col min="9219" max="9219" width="40" customWidth="1"/>
    <col min="9220" max="9220" width="13.140625" bestFit="1" customWidth="1"/>
    <col min="9221" max="9221" width="44.5703125" bestFit="1" customWidth="1"/>
    <col min="9473" max="9473" width="75.5703125" bestFit="1" customWidth="1"/>
    <col min="9474" max="9474" width="16.85546875" bestFit="1" customWidth="1"/>
    <col min="9475" max="9475" width="40" customWidth="1"/>
    <col min="9476" max="9476" width="13.140625" bestFit="1" customWidth="1"/>
    <col min="9477" max="9477" width="44.5703125" bestFit="1" customWidth="1"/>
    <col min="9729" max="9729" width="75.5703125" bestFit="1" customWidth="1"/>
    <col min="9730" max="9730" width="16.85546875" bestFit="1" customWidth="1"/>
    <col min="9731" max="9731" width="40" customWidth="1"/>
    <col min="9732" max="9732" width="13.140625" bestFit="1" customWidth="1"/>
    <col min="9733" max="9733" width="44.5703125" bestFit="1" customWidth="1"/>
    <col min="9985" max="9985" width="75.5703125" bestFit="1" customWidth="1"/>
    <col min="9986" max="9986" width="16.85546875" bestFit="1" customWidth="1"/>
    <col min="9987" max="9987" width="40" customWidth="1"/>
    <col min="9988" max="9988" width="13.140625" bestFit="1" customWidth="1"/>
    <col min="9989" max="9989" width="44.5703125" bestFit="1" customWidth="1"/>
    <col min="10241" max="10241" width="75.5703125" bestFit="1" customWidth="1"/>
    <col min="10242" max="10242" width="16.85546875" bestFit="1" customWidth="1"/>
    <col min="10243" max="10243" width="40" customWidth="1"/>
    <col min="10244" max="10244" width="13.140625" bestFit="1" customWidth="1"/>
    <col min="10245" max="10245" width="44.5703125" bestFit="1" customWidth="1"/>
    <col min="10497" max="10497" width="75.5703125" bestFit="1" customWidth="1"/>
    <col min="10498" max="10498" width="16.85546875" bestFit="1" customWidth="1"/>
    <col min="10499" max="10499" width="40" customWidth="1"/>
    <col min="10500" max="10500" width="13.140625" bestFit="1" customWidth="1"/>
    <col min="10501" max="10501" width="44.5703125" bestFit="1" customWidth="1"/>
    <col min="10753" max="10753" width="75.5703125" bestFit="1" customWidth="1"/>
    <col min="10754" max="10754" width="16.85546875" bestFit="1" customWidth="1"/>
    <col min="10755" max="10755" width="40" customWidth="1"/>
    <col min="10756" max="10756" width="13.140625" bestFit="1" customWidth="1"/>
    <col min="10757" max="10757" width="44.5703125" bestFit="1" customWidth="1"/>
    <col min="11009" max="11009" width="75.5703125" bestFit="1" customWidth="1"/>
    <col min="11010" max="11010" width="16.85546875" bestFit="1" customWidth="1"/>
    <col min="11011" max="11011" width="40" customWidth="1"/>
    <col min="11012" max="11012" width="13.140625" bestFit="1" customWidth="1"/>
    <col min="11013" max="11013" width="44.5703125" bestFit="1" customWidth="1"/>
    <col min="11265" max="11265" width="75.5703125" bestFit="1" customWidth="1"/>
    <col min="11266" max="11266" width="16.85546875" bestFit="1" customWidth="1"/>
    <col min="11267" max="11267" width="40" customWidth="1"/>
    <col min="11268" max="11268" width="13.140625" bestFit="1" customWidth="1"/>
    <col min="11269" max="11269" width="44.5703125" bestFit="1" customWidth="1"/>
    <col min="11521" max="11521" width="75.5703125" bestFit="1" customWidth="1"/>
    <col min="11522" max="11522" width="16.85546875" bestFit="1" customWidth="1"/>
    <col min="11523" max="11523" width="40" customWidth="1"/>
    <col min="11524" max="11524" width="13.140625" bestFit="1" customWidth="1"/>
    <col min="11525" max="11525" width="44.5703125" bestFit="1" customWidth="1"/>
    <col min="11777" max="11777" width="75.5703125" bestFit="1" customWidth="1"/>
    <col min="11778" max="11778" width="16.85546875" bestFit="1" customWidth="1"/>
    <col min="11779" max="11779" width="40" customWidth="1"/>
    <col min="11780" max="11780" width="13.140625" bestFit="1" customWidth="1"/>
    <col min="11781" max="11781" width="44.5703125" bestFit="1" customWidth="1"/>
    <col min="12033" max="12033" width="75.5703125" bestFit="1" customWidth="1"/>
    <col min="12034" max="12034" width="16.85546875" bestFit="1" customWidth="1"/>
    <col min="12035" max="12035" width="40" customWidth="1"/>
    <col min="12036" max="12036" width="13.140625" bestFit="1" customWidth="1"/>
    <col min="12037" max="12037" width="44.5703125" bestFit="1" customWidth="1"/>
    <col min="12289" max="12289" width="75.5703125" bestFit="1" customWidth="1"/>
    <col min="12290" max="12290" width="16.85546875" bestFit="1" customWidth="1"/>
    <col min="12291" max="12291" width="40" customWidth="1"/>
    <col min="12292" max="12292" width="13.140625" bestFit="1" customWidth="1"/>
    <col min="12293" max="12293" width="44.5703125" bestFit="1" customWidth="1"/>
    <col min="12545" max="12545" width="75.5703125" bestFit="1" customWidth="1"/>
    <col min="12546" max="12546" width="16.85546875" bestFit="1" customWidth="1"/>
    <col min="12547" max="12547" width="40" customWidth="1"/>
    <col min="12548" max="12548" width="13.140625" bestFit="1" customWidth="1"/>
    <col min="12549" max="12549" width="44.5703125" bestFit="1" customWidth="1"/>
    <col min="12801" max="12801" width="75.5703125" bestFit="1" customWidth="1"/>
    <col min="12802" max="12802" width="16.85546875" bestFit="1" customWidth="1"/>
    <col min="12803" max="12803" width="40" customWidth="1"/>
    <col min="12804" max="12804" width="13.140625" bestFit="1" customWidth="1"/>
    <col min="12805" max="12805" width="44.5703125" bestFit="1" customWidth="1"/>
    <col min="13057" max="13057" width="75.5703125" bestFit="1" customWidth="1"/>
    <col min="13058" max="13058" width="16.85546875" bestFit="1" customWidth="1"/>
    <col min="13059" max="13059" width="40" customWidth="1"/>
    <col min="13060" max="13060" width="13.140625" bestFit="1" customWidth="1"/>
    <col min="13061" max="13061" width="44.5703125" bestFit="1" customWidth="1"/>
    <col min="13313" max="13313" width="75.5703125" bestFit="1" customWidth="1"/>
    <col min="13314" max="13314" width="16.85546875" bestFit="1" customWidth="1"/>
    <col min="13315" max="13315" width="40" customWidth="1"/>
    <col min="13316" max="13316" width="13.140625" bestFit="1" customWidth="1"/>
    <col min="13317" max="13317" width="44.5703125" bestFit="1" customWidth="1"/>
    <col min="13569" max="13569" width="75.5703125" bestFit="1" customWidth="1"/>
    <col min="13570" max="13570" width="16.85546875" bestFit="1" customWidth="1"/>
    <col min="13571" max="13571" width="40" customWidth="1"/>
    <col min="13572" max="13572" width="13.140625" bestFit="1" customWidth="1"/>
    <col min="13573" max="13573" width="44.5703125" bestFit="1" customWidth="1"/>
    <col min="13825" max="13825" width="75.5703125" bestFit="1" customWidth="1"/>
    <col min="13826" max="13826" width="16.85546875" bestFit="1" customWidth="1"/>
    <col min="13827" max="13827" width="40" customWidth="1"/>
    <col min="13828" max="13828" width="13.140625" bestFit="1" customWidth="1"/>
    <col min="13829" max="13829" width="44.5703125" bestFit="1" customWidth="1"/>
    <col min="14081" max="14081" width="75.5703125" bestFit="1" customWidth="1"/>
    <col min="14082" max="14082" width="16.85546875" bestFit="1" customWidth="1"/>
    <col min="14083" max="14083" width="40" customWidth="1"/>
    <col min="14084" max="14084" width="13.140625" bestFit="1" customWidth="1"/>
    <col min="14085" max="14085" width="44.5703125" bestFit="1" customWidth="1"/>
    <col min="14337" max="14337" width="75.5703125" bestFit="1" customWidth="1"/>
    <col min="14338" max="14338" width="16.85546875" bestFit="1" customWidth="1"/>
    <col min="14339" max="14339" width="40" customWidth="1"/>
    <col min="14340" max="14340" width="13.140625" bestFit="1" customWidth="1"/>
    <col min="14341" max="14341" width="44.5703125" bestFit="1" customWidth="1"/>
    <col min="14593" max="14593" width="75.5703125" bestFit="1" customWidth="1"/>
    <col min="14594" max="14594" width="16.85546875" bestFit="1" customWidth="1"/>
    <col min="14595" max="14595" width="40" customWidth="1"/>
    <col min="14596" max="14596" width="13.140625" bestFit="1" customWidth="1"/>
    <col min="14597" max="14597" width="44.5703125" bestFit="1" customWidth="1"/>
    <col min="14849" max="14849" width="75.5703125" bestFit="1" customWidth="1"/>
    <col min="14850" max="14850" width="16.85546875" bestFit="1" customWidth="1"/>
    <col min="14851" max="14851" width="40" customWidth="1"/>
    <col min="14852" max="14852" width="13.140625" bestFit="1" customWidth="1"/>
    <col min="14853" max="14853" width="44.5703125" bestFit="1" customWidth="1"/>
    <col min="15105" max="15105" width="75.5703125" bestFit="1" customWidth="1"/>
    <col min="15106" max="15106" width="16.85546875" bestFit="1" customWidth="1"/>
    <col min="15107" max="15107" width="40" customWidth="1"/>
    <col min="15108" max="15108" width="13.140625" bestFit="1" customWidth="1"/>
    <col min="15109" max="15109" width="44.5703125" bestFit="1" customWidth="1"/>
    <col min="15361" max="15361" width="75.5703125" bestFit="1" customWidth="1"/>
    <col min="15362" max="15362" width="16.85546875" bestFit="1" customWidth="1"/>
    <col min="15363" max="15363" width="40" customWidth="1"/>
    <col min="15364" max="15364" width="13.140625" bestFit="1" customWidth="1"/>
    <col min="15365" max="15365" width="44.5703125" bestFit="1" customWidth="1"/>
    <col min="15617" max="15617" width="75.5703125" bestFit="1" customWidth="1"/>
    <col min="15618" max="15618" width="16.85546875" bestFit="1" customWidth="1"/>
    <col min="15619" max="15619" width="40" customWidth="1"/>
    <col min="15620" max="15620" width="13.140625" bestFit="1" customWidth="1"/>
    <col min="15621" max="15621" width="44.5703125" bestFit="1" customWidth="1"/>
    <col min="15873" max="15873" width="75.5703125" bestFit="1" customWidth="1"/>
    <col min="15874" max="15874" width="16.85546875" bestFit="1" customWidth="1"/>
    <col min="15875" max="15875" width="40" customWidth="1"/>
    <col min="15876" max="15876" width="13.140625" bestFit="1" customWidth="1"/>
    <col min="15877" max="15877" width="44.5703125" bestFit="1" customWidth="1"/>
    <col min="16129" max="16129" width="75.5703125" bestFit="1" customWidth="1"/>
    <col min="16130" max="16130" width="16.85546875" bestFit="1" customWidth="1"/>
    <col min="16131" max="16131" width="40" customWidth="1"/>
    <col min="16132" max="16132" width="13.140625" bestFit="1" customWidth="1"/>
    <col min="16133" max="16133" width="44.5703125" bestFit="1" customWidth="1"/>
  </cols>
  <sheetData>
    <row r="1" spans="1:5" ht="20.25" thickBot="1" x14ac:dyDescent="0.3">
      <c r="A1" s="192" t="s">
        <v>172</v>
      </c>
      <c r="B1" s="193"/>
      <c r="C1" s="193"/>
      <c r="D1" s="193"/>
      <c r="E1" s="194"/>
    </row>
    <row r="2" spans="1:5" ht="20.25" thickBot="1" x14ac:dyDescent="0.3">
      <c r="A2" s="38"/>
      <c r="B2" s="39"/>
      <c r="C2" s="39"/>
      <c r="D2" s="39"/>
      <c r="E2" s="40"/>
    </row>
    <row r="3" spans="1:5" ht="15.75" thickBot="1" x14ac:dyDescent="0.3">
      <c r="A3" s="195" t="s">
        <v>185</v>
      </c>
      <c r="B3" s="196"/>
      <c r="C3" s="196"/>
      <c r="D3" s="196"/>
      <c r="E3" s="197"/>
    </row>
    <row r="4" spans="1:5" ht="20.25" thickBot="1" x14ac:dyDescent="0.3">
      <c r="A4" s="41"/>
      <c r="B4" s="42"/>
      <c r="C4" s="42"/>
      <c r="D4" s="42"/>
      <c r="E4" s="43"/>
    </row>
    <row r="5" spans="1:5" x14ac:dyDescent="0.25">
      <c r="A5" s="44" t="s">
        <v>33</v>
      </c>
      <c r="B5" s="45" t="s">
        <v>34</v>
      </c>
      <c r="C5" s="45" t="s">
        <v>35</v>
      </c>
      <c r="D5" s="45" t="s">
        <v>36</v>
      </c>
      <c r="E5" s="46" t="s">
        <v>37</v>
      </c>
    </row>
    <row r="6" spans="1:5" ht="15.75" thickBot="1" x14ac:dyDescent="0.3">
      <c r="A6" s="47" t="s">
        <v>173</v>
      </c>
      <c r="B6" s="48" t="s">
        <v>34</v>
      </c>
      <c r="C6" s="48" t="s">
        <v>39</v>
      </c>
      <c r="D6" s="152">
        <v>1699.28</v>
      </c>
      <c r="E6" s="49" t="s">
        <v>34</v>
      </c>
    </row>
    <row r="7" spans="1:5" ht="15.75" thickBot="1" x14ac:dyDescent="0.3">
      <c r="A7" s="50"/>
      <c r="B7" s="17"/>
      <c r="C7" s="17"/>
      <c r="D7" s="17"/>
      <c r="E7" s="51"/>
    </row>
    <row r="8" spans="1:5" x14ac:dyDescent="0.25">
      <c r="A8" s="52" t="s">
        <v>40</v>
      </c>
      <c r="B8" s="45" t="s">
        <v>41</v>
      </c>
      <c r="C8" s="45" t="s">
        <v>35</v>
      </c>
      <c r="D8" s="45" t="s">
        <v>36</v>
      </c>
      <c r="E8" s="46" t="s">
        <v>37</v>
      </c>
    </row>
    <row r="9" spans="1:5" x14ac:dyDescent="0.25">
      <c r="A9" s="154" t="s">
        <v>42</v>
      </c>
      <c r="B9" s="54" t="s">
        <v>34</v>
      </c>
      <c r="C9" s="23" t="s">
        <v>34</v>
      </c>
      <c r="D9" s="55">
        <f>TRUNC(D6,2)</f>
        <v>1699.28</v>
      </c>
      <c r="E9" s="56" t="s">
        <v>34</v>
      </c>
    </row>
    <row r="10" spans="1:5" x14ac:dyDescent="0.25">
      <c r="A10" s="155" t="s">
        <v>46</v>
      </c>
      <c r="B10" s="54" t="s">
        <v>34</v>
      </c>
      <c r="C10" s="59" t="s">
        <v>166</v>
      </c>
      <c r="D10" s="153">
        <f>TRUNC(D9*30%,2)</f>
        <v>509.78</v>
      </c>
      <c r="E10" s="61" t="s">
        <v>34</v>
      </c>
    </row>
    <row r="11" spans="1:5" ht="51" x14ac:dyDescent="0.25">
      <c r="A11" s="57" t="s">
        <v>49</v>
      </c>
      <c r="B11" s="54">
        <v>2</v>
      </c>
      <c r="C11" s="63" t="s">
        <v>171</v>
      </c>
      <c r="D11" s="60">
        <f>TRUNC(((SUM(D9:D10)*160%)/220)*B11,2)</f>
        <v>32.130000000000003</v>
      </c>
      <c r="E11" s="64" t="s">
        <v>234</v>
      </c>
    </row>
    <row r="12" spans="1:5" ht="25.5" x14ac:dyDescent="0.25">
      <c r="A12" s="57" t="s">
        <v>174</v>
      </c>
      <c r="B12" s="54" t="s">
        <v>34</v>
      </c>
      <c r="C12" s="59" t="s">
        <v>175</v>
      </c>
      <c r="D12" s="60">
        <f>TRUNC(((SUM(D9:D10)*2)/220)*8.8/12,2)</f>
        <v>14.72</v>
      </c>
      <c r="E12" s="62" t="s">
        <v>235</v>
      </c>
    </row>
    <row r="13" spans="1:5" ht="25.5" x14ac:dyDescent="0.25">
      <c r="A13" s="57" t="s">
        <v>50</v>
      </c>
      <c r="B13" s="54" t="s">
        <v>34</v>
      </c>
      <c r="C13" s="54" t="s">
        <v>176</v>
      </c>
      <c r="D13" s="60">
        <f>TRUNC(SUM(D11:D12)*5/25,2)</f>
        <v>9.3699999999999992</v>
      </c>
      <c r="E13" s="62" t="s">
        <v>51</v>
      </c>
    </row>
    <row r="14" spans="1:5" ht="15.75" thickBot="1" x14ac:dyDescent="0.3">
      <c r="A14" s="65" t="s">
        <v>52</v>
      </c>
      <c r="B14" s="66" t="s">
        <v>34</v>
      </c>
      <c r="C14" s="67" t="s">
        <v>53</v>
      </c>
      <c r="D14" s="68">
        <f>SUM(D9:D13)</f>
        <v>2265.2799999999997</v>
      </c>
      <c r="E14" s="69" t="s">
        <v>34</v>
      </c>
    </row>
    <row r="15" spans="1:5" ht="15.75" thickBot="1" x14ac:dyDescent="0.3">
      <c r="A15" s="50"/>
      <c r="B15" s="70"/>
      <c r="C15" s="27"/>
      <c r="D15" s="17"/>
      <c r="E15" s="51"/>
    </row>
    <row r="16" spans="1:5" x14ac:dyDescent="0.25">
      <c r="A16" s="52" t="s">
        <v>54</v>
      </c>
      <c r="B16" s="45" t="s">
        <v>202</v>
      </c>
      <c r="C16" s="45" t="s">
        <v>35</v>
      </c>
      <c r="D16" s="45" t="s">
        <v>36</v>
      </c>
      <c r="E16" s="46" t="s">
        <v>37</v>
      </c>
    </row>
    <row r="17" spans="1:5" x14ac:dyDescent="0.25">
      <c r="A17" s="71" t="s">
        <v>56</v>
      </c>
      <c r="B17" s="72"/>
      <c r="C17" s="73"/>
      <c r="D17" s="74"/>
      <c r="E17" s="75"/>
    </row>
    <row r="18" spans="1:5" x14ac:dyDescent="0.25">
      <c r="A18" s="154" t="s">
        <v>57</v>
      </c>
      <c r="B18" s="161">
        <v>0.2</v>
      </c>
      <c r="C18" s="23" t="s">
        <v>58</v>
      </c>
      <c r="D18" s="76">
        <f t="shared" ref="D18:D25" si="0">TRUNC(B18*$D$14,2)</f>
        <v>453.05</v>
      </c>
      <c r="E18" s="77" t="s">
        <v>59</v>
      </c>
    </row>
    <row r="19" spans="1:5" x14ac:dyDescent="0.25">
      <c r="A19" s="154" t="s">
        <v>60</v>
      </c>
      <c r="B19" s="161">
        <v>0.08</v>
      </c>
      <c r="C19" s="23" t="s">
        <v>61</v>
      </c>
      <c r="D19" s="76">
        <f t="shared" si="0"/>
        <v>181.22</v>
      </c>
      <c r="E19" s="77" t="s">
        <v>62</v>
      </c>
    </row>
    <row r="20" spans="1:5" x14ac:dyDescent="0.25">
      <c r="A20" s="154" t="s">
        <v>63</v>
      </c>
      <c r="B20" s="161">
        <v>1.4999999999999999E-2</v>
      </c>
      <c r="C20" s="23" t="s">
        <v>64</v>
      </c>
      <c r="D20" s="76">
        <f t="shared" si="0"/>
        <v>33.97</v>
      </c>
      <c r="E20" s="77" t="s">
        <v>65</v>
      </c>
    </row>
    <row r="21" spans="1:5" x14ac:dyDescent="0.25">
      <c r="A21" s="154" t="s">
        <v>66</v>
      </c>
      <c r="B21" s="161">
        <v>0.01</v>
      </c>
      <c r="C21" s="23" t="s">
        <v>67</v>
      </c>
      <c r="D21" s="76">
        <f t="shared" si="0"/>
        <v>22.65</v>
      </c>
      <c r="E21" s="77" t="s">
        <v>68</v>
      </c>
    </row>
    <row r="22" spans="1:5" x14ac:dyDescent="0.25">
      <c r="A22" s="154" t="s">
        <v>69</v>
      </c>
      <c r="B22" s="161">
        <v>2E-3</v>
      </c>
      <c r="C22" s="23" t="s">
        <v>70</v>
      </c>
      <c r="D22" s="76">
        <f t="shared" si="0"/>
        <v>4.53</v>
      </c>
      <c r="E22" s="77" t="s">
        <v>71</v>
      </c>
    </row>
    <row r="23" spans="1:5" x14ac:dyDescent="0.25">
      <c r="A23" s="154" t="s">
        <v>72</v>
      </c>
      <c r="B23" s="161">
        <v>6.0000000000000001E-3</v>
      </c>
      <c r="C23" s="23" t="s">
        <v>73</v>
      </c>
      <c r="D23" s="76">
        <f t="shared" si="0"/>
        <v>13.59</v>
      </c>
      <c r="E23" s="77" t="s">
        <v>74</v>
      </c>
    </row>
    <row r="24" spans="1:5" x14ac:dyDescent="0.25">
      <c r="A24" s="154" t="s">
        <v>75</v>
      </c>
      <c r="B24" s="161">
        <v>2.5000000000000001E-2</v>
      </c>
      <c r="C24" s="23" t="s">
        <v>76</v>
      </c>
      <c r="D24" s="76">
        <f t="shared" si="0"/>
        <v>56.63</v>
      </c>
      <c r="E24" s="77" t="s">
        <v>77</v>
      </c>
    </row>
    <row r="25" spans="1:5" x14ac:dyDescent="0.25">
      <c r="A25" s="156" t="s">
        <v>78</v>
      </c>
      <c r="B25" s="159">
        <f>'Quadro resumo'!C42</f>
        <v>0</v>
      </c>
      <c r="C25" s="23" t="s">
        <v>79</v>
      </c>
      <c r="D25" s="79">
        <f t="shared" si="0"/>
        <v>0</v>
      </c>
      <c r="E25" s="77" t="s">
        <v>80</v>
      </c>
    </row>
    <row r="26" spans="1:5" ht="15.75" thickBot="1" x14ac:dyDescent="0.3">
      <c r="A26" s="65" t="s">
        <v>81</v>
      </c>
      <c r="B26" s="165">
        <f>SUM(B18:B25)</f>
        <v>0.33800000000000008</v>
      </c>
      <c r="C26" s="66" t="s">
        <v>53</v>
      </c>
      <c r="D26" s="81">
        <f>SUM(D18:D25)</f>
        <v>765.64</v>
      </c>
      <c r="E26" s="69" t="s">
        <v>34</v>
      </c>
    </row>
    <row r="27" spans="1:5" ht="15.75" thickBot="1" x14ac:dyDescent="0.3">
      <c r="A27" s="50"/>
      <c r="B27" s="17"/>
      <c r="C27" s="17"/>
      <c r="D27" s="17"/>
      <c r="E27" s="51"/>
    </row>
    <row r="28" spans="1:5" x14ac:dyDescent="0.25">
      <c r="A28" s="52" t="s">
        <v>82</v>
      </c>
      <c r="B28" s="45" t="s">
        <v>202</v>
      </c>
      <c r="C28" s="45" t="s">
        <v>35</v>
      </c>
      <c r="D28" s="45" t="s">
        <v>36</v>
      </c>
      <c r="E28" s="46" t="s">
        <v>37</v>
      </c>
    </row>
    <row r="29" spans="1:5" x14ac:dyDescent="0.25">
      <c r="A29" s="154" t="s">
        <v>83</v>
      </c>
      <c r="B29" s="164">
        <f>1/12</f>
        <v>8.3333333333333329E-2</v>
      </c>
      <c r="C29" s="23" t="s">
        <v>206</v>
      </c>
      <c r="D29" s="158">
        <f t="shared" ref="D29:D36" si="1">TRUNC(B29*$D$14,2)</f>
        <v>188.77</v>
      </c>
      <c r="E29" s="77" t="s">
        <v>84</v>
      </c>
    </row>
    <row r="30" spans="1:5" x14ac:dyDescent="0.25">
      <c r="A30" s="154" t="s">
        <v>85</v>
      </c>
      <c r="B30" s="161">
        <f>((1+1/3)/12)</f>
        <v>0.1111111111111111</v>
      </c>
      <c r="C30" s="23" t="s">
        <v>207</v>
      </c>
      <c r="D30" s="158">
        <f t="shared" si="1"/>
        <v>251.69</v>
      </c>
      <c r="E30" s="77" t="s">
        <v>86</v>
      </c>
    </row>
    <row r="31" spans="1:5" x14ac:dyDescent="0.25">
      <c r="A31" s="53" t="s">
        <v>87</v>
      </c>
      <c r="B31" s="161">
        <f>((7/30)/12)</f>
        <v>1.9444444444444445E-2</v>
      </c>
      <c r="C31" s="23" t="s">
        <v>208</v>
      </c>
      <c r="D31" s="79">
        <f t="shared" si="1"/>
        <v>44.04</v>
      </c>
      <c r="E31" s="77" t="s">
        <v>88</v>
      </c>
    </row>
    <row r="32" spans="1:5" x14ac:dyDescent="0.25">
      <c r="A32" s="53" t="s">
        <v>89</v>
      </c>
      <c r="B32" s="161">
        <f>((5/30)/12)</f>
        <v>1.3888888888888888E-2</v>
      </c>
      <c r="C32" s="23" t="s">
        <v>209</v>
      </c>
      <c r="D32" s="79">
        <f t="shared" si="1"/>
        <v>31.46</v>
      </c>
      <c r="E32" s="77" t="s">
        <v>90</v>
      </c>
    </row>
    <row r="33" spans="1:5" x14ac:dyDescent="0.25">
      <c r="A33" s="53" t="s">
        <v>91</v>
      </c>
      <c r="B33" s="161">
        <f>((15/30)/12)*1%</f>
        <v>4.1666666666666664E-4</v>
      </c>
      <c r="C33" s="23" t="s">
        <v>211</v>
      </c>
      <c r="D33" s="79">
        <f t="shared" si="1"/>
        <v>0.94</v>
      </c>
      <c r="E33" s="77" t="s">
        <v>92</v>
      </c>
    </row>
    <row r="34" spans="1:5" x14ac:dyDescent="0.25">
      <c r="A34" s="53" t="s">
        <v>93</v>
      </c>
      <c r="B34" s="161">
        <f>(1/30)/12</f>
        <v>2.7777777777777779E-3</v>
      </c>
      <c r="C34" s="82" t="s">
        <v>210</v>
      </c>
      <c r="D34" s="79">
        <f t="shared" si="1"/>
        <v>6.29</v>
      </c>
      <c r="E34" s="77" t="s">
        <v>94</v>
      </c>
    </row>
    <row r="35" spans="1:5" ht="25.5" x14ac:dyDescent="0.25">
      <c r="A35" s="53" t="s">
        <v>95</v>
      </c>
      <c r="B35" s="161">
        <f>((1+1/3)/12)*1.5%*(4/12)</f>
        <v>5.5555555555555545E-4</v>
      </c>
      <c r="C35" s="63" t="s">
        <v>240</v>
      </c>
      <c r="D35" s="79">
        <f t="shared" si="1"/>
        <v>1.25</v>
      </c>
      <c r="E35" s="83" t="s">
        <v>96</v>
      </c>
    </row>
    <row r="36" spans="1:5" x14ac:dyDescent="0.25">
      <c r="A36" s="53" t="s">
        <v>97</v>
      </c>
      <c r="B36" s="161">
        <f>((5/30)/12)*1.5%</f>
        <v>2.0833333333333332E-4</v>
      </c>
      <c r="C36" s="23" t="s">
        <v>214</v>
      </c>
      <c r="D36" s="79">
        <f t="shared" si="1"/>
        <v>0.47</v>
      </c>
      <c r="E36" s="77" t="s">
        <v>98</v>
      </c>
    </row>
    <row r="37" spans="1:5" ht="15.75" thickBot="1" x14ac:dyDescent="0.3">
      <c r="A37" s="65" t="s">
        <v>99</v>
      </c>
      <c r="B37" s="165">
        <f>SUM(B29:B36)</f>
        <v>0.23173611111111109</v>
      </c>
      <c r="C37" s="66" t="s">
        <v>53</v>
      </c>
      <c r="D37" s="67">
        <f>SUM(D29:D36)</f>
        <v>524.91000000000008</v>
      </c>
      <c r="E37" s="69" t="s">
        <v>34</v>
      </c>
    </row>
    <row r="38" spans="1:5" x14ac:dyDescent="0.25">
      <c r="A38" s="50" t="s">
        <v>100</v>
      </c>
      <c r="B38" s="17"/>
      <c r="C38" s="17" t="s">
        <v>101</v>
      </c>
      <c r="D38" s="17"/>
      <c r="E38" s="51"/>
    </row>
    <row r="39" spans="1:5" x14ac:dyDescent="0.25">
      <c r="A39" s="50" t="s">
        <v>102</v>
      </c>
      <c r="B39" s="17"/>
      <c r="C39" s="17" t="s">
        <v>241</v>
      </c>
      <c r="D39" s="84"/>
      <c r="E39" s="51"/>
    </row>
    <row r="40" spans="1:5" ht="15.75" thickBot="1" x14ac:dyDescent="0.3">
      <c r="A40" s="50" t="s">
        <v>103</v>
      </c>
      <c r="B40" s="17"/>
      <c r="C40" s="17" t="s">
        <v>104</v>
      </c>
      <c r="D40" s="84"/>
      <c r="E40" s="51"/>
    </row>
    <row r="41" spans="1:5" x14ac:dyDescent="0.25">
      <c r="A41" s="52" t="s">
        <v>105</v>
      </c>
      <c r="B41" s="45" t="s">
        <v>202</v>
      </c>
      <c r="C41" s="45" t="s">
        <v>35</v>
      </c>
      <c r="D41" s="45" t="s">
        <v>36</v>
      </c>
      <c r="E41" s="46" t="s">
        <v>37</v>
      </c>
    </row>
    <row r="42" spans="1:5" x14ac:dyDescent="0.25">
      <c r="A42" s="53" t="s">
        <v>106</v>
      </c>
      <c r="B42" s="164">
        <f>25%*(1/12)</f>
        <v>2.0833333333333332E-2</v>
      </c>
      <c r="C42" s="23" t="s">
        <v>215</v>
      </c>
      <c r="D42" s="79">
        <f>TRUNC(B42*$D$14,2)</f>
        <v>47.19</v>
      </c>
      <c r="E42" s="77" t="s">
        <v>107</v>
      </c>
    </row>
    <row r="43" spans="1:5" x14ac:dyDescent="0.25">
      <c r="A43" s="53" t="s">
        <v>108</v>
      </c>
      <c r="B43" s="161">
        <f>25%*(1/12)</f>
        <v>2.0833333333333332E-2</v>
      </c>
      <c r="C43" s="23" t="s">
        <v>215</v>
      </c>
      <c r="D43" s="79">
        <f>TRUNC(B43*$D$14,2)</f>
        <v>47.19</v>
      </c>
      <c r="E43" s="77" t="s">
        <v>109</v>
      </c>
    </row>
    <row r="44" spans="1:5" x14ac:dyDescent="0.25">
      <c r="A44" s="53" t="s">
        <v>110</v>
      </c>
      <c r="B44" s="161">
        <f>40%*8%</f>
        <v>3.2000000000000001E-2</v>
      </c>
      <c r="C44" s="23" t="s">
        <v>212</v>
      </c>
      <c r="D44" s="79">
        <f>TRUNC(B44*$D$14,2)</f>
        <v>72.48</v>
      </c>
      <c r="E44" s="77" t="s">
        <v>111</v>
      </c>
    </row>
    <row r="45" spans="1:5" x14ac:dyDescent="0.25">
      <c r="A45" s="53" t="s">
        <v>112</v>
      </c>
      <c r="B45" s="161">
        <f>10%*8%</f>
        <v>8.0000000000000002E-3</v>
      </c>
      <c r="C45" s="23" t="s">
        <v>213</v>
      </c>
      <c r="D45" s="79">
        <f>TRUNC(B45*$D$14,2)</f>
        <v>18.12</v>
      </c>
      <c r="E45" s="77" t="s">
        <v>113</v>
      </c>
    </row>
    <row r="46" spans="1:5" ht="15.75" thickBot="1" x14ac:dyDescent="0.3">
      <c r="A46" s="65" t="s">
        <v>114</v>
      </c>
      <c r="B46" s="165">
        <f>SUM(B42:B45)</f>
        <v>8.1666666666666665E-2</v>
      </c>
      <c r="C46" s="66" t="s">
        <v>53</v>
      </c>
      <c r="D46" s="67">
        <f>SUM(D42:D45)</f>
        <v>184.98000000000002</v>
      </c>
      <c r="E46" s="69" t="s">
        <v>34</v>
      </c>
    </row>
    <row r="47" spans="1:5" x14ac:dyDescent="0.25">
      <c r="A47" s="50" t="s">
        <v>115</v>
      </c>
      <c r="B47" s="17"/>
      <c r="C47" s="17" t="s">
        <v>116</v>
      </c>
      <c r="D47" s="17"/>
      <c r="E47" s="51"/>
    </row>
    <row r="48" spans="1:5" ht="25.5" customHeight="1" thickBot="1" x14ac:dyDescent="0.3">
      <c r="A48" s="198" t="s">
        <v>117</v>
      </c>
      <c r="B48" s="199"/>
      <c r="C48" s="17" t="s">
        <v>118</v>
      </c>
      <c r="D48" s="85"/>
      <c r="E48" s="86"/>
    </row>
    <row r="49" spans="1:5" x14ac:dyDescent="0.25">
      <c r="A49" s="52" t="s">
        <v>119</v>
      </c>
      <c r="B49" s="45" t="s">
        <v>202</v>
      </c>
      <c r="C49" s="45" t="s">
        <v>35</v>
      </c>
      <c r="D49" s="45" t="s">
        <v>36</v>
      </c>
      <c r="E49" s="46" t="s">
        <v>37</v>
      </c>
    </row>
    <row r="50" spans="1:5" x14ac:dyDescent="0.25">
      <c r="A50" s="53" t="s">
        <v>120</v>
      </c>
      <c r="B50" s="164">
        <f>B26*B37</f>
        <v>7.8326805555555559E-2</v>
      </c>
      <c r="C50" s="23" t="s">
        <v>121</v>
      </c>
      <c r="D50" s="79">
        <f>TRUNC(B50*$D$14,2)</f>
        <v>177.43</v>
      </c>
      <c r="E50" s="56" t="s">
        <v>34</v>
      </c>
    </row>
    <row r="51" spans="1:5" ht="15.75" thickBot="1" x14ac:dyDescent="0.3">
      <c r="A51" s="65" t="s">
        <v>122</v>
      </c>
      <c r="B51" s="165">
        <f>B50</f>
        <v>7.8326805555555559E-2</v>
      </c>
      <c r="C51" s="66" t="s">
        <v>53</v>
      </c>
      <c r="D51" s="67">
        <f>D50</f>
        <v>177.43</v>
      </c>
      <c r="E51" s="69" t="s">
        <v>34</v>
      </c>
    </row>
    <row r="52" spans="1:5" ht="15.75" thickBot="1" x14ac:dyDescent="0.3">
      <c r="A52" s="50"/>
      <c r="B52" s="17"/>
      <c r="C52" s="17"/>
      <c r="D52" s="17"/>
      <c r="E52" s="51"/>
    </row>
    <row r="53" spans="1:5" x14ac:dyDescent="0.25">
      <c r="A53" s="52" t="s">
        <v>123</v>
      </c>
      <c r="B53" s="45" t="s">
        <v>55</v>
      </c>
      <c r="C53" s="45" t="s">
        <v>124</v>
      </c>
      <c r="D53" s="45" t="s">
        <v>36</v>
      </c>
      <c r="E53" s="46" t="s">
        <v>37</v>
      </c>
    </row>
    <row r="54" spans="1:5" x14ac:dyDescent="0.25">
      <c r="A54" s="87" t="s">
        <v>125</v>
      </c>
      <c r="B54" s="162">
        <f>B19*B42</f>
        <v>1.6666666666666666E-3</v>
      </c>
      <c r="C54" s="23" t="s">
        <v>126</v>
      </c>
      <c r="D54" s="79">
        <f>TRUNC(B54*$D$14,2)</f>
        <v>3.77</v>
      </c>
      <c r="E54" s="77" t="s">
        <v>127</v>
      </c>
    </row>
    <row r="55" spans="1:5" ht="25.5" x14ac:dyDescent="0.25">
      <c r="A55" s="78" t="s">
        <v>128</v>
      </c>
      <c r="B55" s="161">
        <f>B19*B33</f>
        <v>3.3333333333333335E-5</v>
      </c>
      <c r="C55" s="23" t="s">
        <v>129</v>
      </c>
      <c r="D55" s="79">
        <f>TRUNC(B55*$D$14,2)</f>
        <v>7.0000000000000007E-2</v>
      </c>
      <c r="E55" s="56" t="s">
        <v>34</v>
      </c>
    </row>
    <row r="56" spans="1:5" ht="15.75" thickBot="1" x14ac:dyDescent="0.3">
      <c r="A56" s="65" t="s">
        <v>130</v>
      </c>
      <c r="B56" s="165">
        <f>SUM(B54:B55)</f>
        <v>1.6999999999999999E-3</v>
      </c>
      <c r="C56" s="66" t="s">
        <v>53</v>
      </c>
      <c r="D56" s="81">
        <f>SUM(D54:D55)</f>
        <v>3.84</v>
      </c>
      <c r="E56" s="69" t="s">
        <v>34</v>
      </c>
    </row>
    <row r="57" spans="1:5" ht="25.5" customHeight="1" thickBot="1" x14ac:dyDescent="0.3">
      <c r="A57" s="200" t="s">
        <v>131</v>
      </c>
      <c r="B57" s="201"/>
      <c r="C57" s="201"/>
      <c r="D57" s="201"/>
      <c r="E57" s="202"/>
    </row>
    <row r="58" spans="1:5" x14ac:dyDescent="0.25">
      <c r="A58" s="52" t="s">
        <v>132</v>
      </c>
      <c r="B58" s="45" t="s">
        <v>202</v>
      </c>
      <c r="C58" s="45" t="s">
        <v>35</v>
      </c>
      <c r="D58" s="45" t="s">
        <v>36</v>
      </c>
      <c r="E58" s="46" t="s">
        <v>37</v>
      </c>
    </row>
    <row r="59" spans="1:5" ht="25.5" x14ac:dyDescent="0.25">
      <c r="A59" s="78" t="s">
        <v>133</v>
      </c>
      <c r="B59" s="88">
        <f>B26*(13/12)*(4/12)*1.5%</f>
        <v>1.8308333333333336E-3</v>
      </c>
      <c r="C59" s="88" t="s">
        <v>245</v>
      </c>
      <c r="D59" s="79">
        <f>TRUNC(B59*$D$14,2)</f>
        <v>4.1399999999999997</v>
      </c>
      <c r="E59" s="83" t="s">
        <v>242</v>
      </c>
    </row>
    <row r="60" spans="1:5" ht="15.75" thickBot="1" x14ac:dyDescent="0.3">
      <c r="A60" s="65" t="s">
        <v>134</v>
      </c>
      <c r="B60" s="165">
        <f>B59</f>
        <v>1.8308333333333336E-3</v>
      </c>
      <c r="C60" s="66" t="s">
        <v>53</v>
      </c>
      <c r="D60" s="67">
        <f>D59</f>
        <v>4.1399999999999997</v>
      </c>
      <c r="E60" s="69" t="s">
        <v>34</v>
      </c>
    </row>
    <row r="61" spans="1:5" ht="15.75" thickBot="1" x14ac:dyDescent="0.3">
      <c r="A61" s="50"/>
      <c r="B61" s="17"/>
      <c r="C61" s="17"/>
      <c r="D61" s="17"/>
      <c r="E61" s="51"/>
    </row>
    <row r="62" spans="1:5" ht="15.75" thickBot="1" x14ac:dyDescent="0.3">
      <c r="A62" s="89" t="s">
        <v>135</v>
      </c>
      <c r="B62" s="90">
        <f>B26+B37+B46+B51+B56+B60</f>
        <v>0.73326041666666686</v>
      </c>
      <c r="C62" s="91" t="s">
        <v>53</v>
      </c>
      <c r="D62" s="92">
        <f>SUM(D26,D37,D46,D51,D56,D60)</f>
        <v>1660.9400000000003</v>
      </c>
      <c r="E62" s="93" t="s">
        <v>34</v>
      </c>
    </row>
    <row r="63" spans="1:5" ht="15.75" thickBot="1" x14ac:dyDescent="0.3">
      <c r="A63" s="50"/>
      <c r="B63" s="17"/>
      <c r="C63" s="17"/>
      <c r="D63" s="94"/>
      <c r="E63" s="51"/>
    </row>
    <row r="64" spans="1:5" x14ac:dyDescent="0.25">
      <c r="A64" s="52" t="s">
        <v>136</v>
      </c>
      <c r="B64" s="45" t="s">
        <v>36</v>
      </c>
      <c r="C64" s="45" t="s">
        <v>35</v>
      </c>
      <c r="D64" s="45" t="s">
        <v>36</v>
      </c>
      <c r="E64" s="46" t="s">
        <v>37</v>
      </c>
    </row>
    <row r="65" spans="1:5" x14ac:dyDescent="0.25">
      <c r="A65" s="154" t="s">
        <v>137</v>
      </c>
      <c r="B65" s="95">
        <f>ROUNDUP('Quadro resumo'!C27/12,2)</f>
        <v>0</v>
      </c>
      <c r="C65" s="96" t="s">
        <v>138</v>
      </c>
      <c r="D65" s="55">
        <f>TRUNC(B65,2)</f>
        <v>0</v>
      </c>
      <c r="E65" s="77" t="s">
        <v>139</v>
      </c>
    </row>
    <row r="66" spans="1:5" x14ac:dyDescent="0.25">
      <c r="A66" s="154" t="s">
        <v>140</v>
      </c>
      <c r="B66" s="97">
        <f>ROUNDUP(('Quadro resumo'!E22/12)/14,2)</f>
        <v>0</v>
      </c>
      <c r="C66" s="96" t="s">
        <v>225</v>
      </c>
      <c r="D66" s="55">
        <f>B66</f>
        <v>0</v>
      </c>
      <c r="E66" s="77" t="s">
        <v>139</v>
      </c>
    </row>
    <row r="67" spans="1:5" ht="25.5" x14ac:dyDescent="0.25">
      <c r="A67" s="154" t="s">
        <v>141</v>
      </c>
      <c r="B67" s="97">
        <f>TRUNC(19*22,2)</f>
        <v>418</v>
      </c>
      <c r="C67" s="96" t="s">
        <v>199</v>
      </c>
      <c r="D67" s="55">
        <f>B67</f>
        <v>418</v>
      </c>
      <c r="E67" s="64" t="s">
        <v>229</v>
      </c>
    </row>
    <row r="68" spans="1:5" ht="25.5" customHeight="1" x14ac:dyDescent="0.25">
      <c r="A68" s="154" t="s">
        <v>142</v>
      </c>
      <c r="B68" s="97">
        <f>TRUNC(4.5*22*4,2)</f>
        <v>396</v>
      </c>
      <c r="C68" s="96" t="s">
        <v>200</v>
      </c>
      <c r="D68" s="55">
        <f t="shared" ref="D68:D75" si="2">B68</f>
        <v>396</v>
      </c>
      <c r="E68" s="64" t="s">
        <v>177</v>
      </c>
    </row>
    <row r="69" spans="1:5" x14ac:dyDescent="0.25">
      <c r="A69" s="169" t="s">
        <v>143</v>
      </c>
      <c r="B69" s="99">
        <f>'Quadro resumo'!C34*3</f>
        <v>0</v>
      </c>
      <c r="C69" s="23" t="str">
        <f>'Quadro resumo'!C33 &amp;" * 3"</f>
        <v>Valor * 3</v>
      </c>
      <c r="D69" s="100">
        <f>B69</f>
        <v>0</v>
      </c>
      <c r="E69" s="64" t="s">
        <v>221</v>
      </c>
    </row>
    <row r="70" spans="1:5" x14ac:dyDescent="0.25">
      <c r="A70" s="170" t="s">
        <v>184</v>
      </c>
      <c r="B70" s="99">
        <f>ROUNDUP(('Quadro resumo'!C35*3)/12,2)</f>
        <v>0</v>
      </c>
      <c r="C70" s="54" t="str">
        <f>"Valor * 3 / 12"</f>
        <v>Valor * 3 / 12</v>
      </c>
      <c r="D70" s="100">
        <f>B70</f>
        <v>0</v>
      </c>
      <c r="E70" s="64" t="s">
        <v>221</v>
      </c>
    </row>
    <row r="71" spans="1:5" s="35" customFormat="1" ht="12.75" x14ac:dyDescent="0.2">
      <c r="A71" s="155" t="s">
        <v>189</v>
      </c>
      <c r="B71" s="143">
        <v>14.48</v>
      </c>
      <c r="C71" s="54" t="s">
        <v>34</v>
      </c>
      <c r="D71" s="150">
        <f>B71</f>
        <v>14.48</v>
      </c>
      <c r="E71" s="64" t="s">
        <v>190</v>
      </c>
    </row>
    <row r="72" spans="1:5" s="35" customFormat="1" ht="12.75" x14ac:dyDescent="0.2">
      <c r="A72" s="154" t="s">
        <v>20</v>
      </c>
      <c r="B72" s="122">
        <f>ROUNDUP('Quadro resumo'!$C$28/12,2)</f>
        <v>0</v>
      </c>
      <c r="C72" s="23"/>
      <c r="D72" s="100">
        <f>TRUNC(B72,2)</f>
        <v>0</v>
      </c>
      <c r="E72" s="64" t="s">
        <v>191</v>
      </c>
    </row>
    <row r="73" spans="1:5" x14ac:dyDescent="0.25">
      <c r="A73" s="154" t="s">
        <v>144</v>
      </c>
      <c r="B73" s="101">
        <v>119.69</v>
      </c>
      <c r="C73" s="102" t="s">
        <v>34</v>
      </c>
      <c r="D73" s="100">
        <f>TRUNC(B73,2)</f>
        <v>119.69</v>
      </c>
      <c r="E73" s="64" t="s">
        <v>192</v>
      </c>
    </row>
    <row r="74" spans="1:5" s="35" customFormat="1" ht="12.75" customHeight="1" x14ac:dyDescent="0.2">
      <c r="A74" s="154" t="s">
        <v>145</v>
      </c>
      <c r="B74" s="101">
        <v>4</v>
      </c>
      <c r="C74" s="102" t="s">
        <v>34</v>
      </c>
      <c r="D74" s="100">
        <f>TRUNC(B74,2)</f>
        <v>4</v>
      </c>
      <c r="E74" s="64" t="s">
        <v>246</v>
      </c>
    </row>
    <row r="75" spans="1:5" x14ac:dyDescent="0.25">
      <c r="A75" s="156" t="s">
        <v>146</v>
      </c>
      <c r="B75" s="98">
        <f>IF(B68&gt;=TRUNC(0.06*D9,2),TRUNC(-0.06*D9,2),-B68)</f>
        <v>-101.95</v>
      </c>
      <c r="C75" s="23" t="s">
        <v>147</v>
      </c>
      <c r="D75" s="76">
        <f t="shared" si="2"/>
        <v>-101.95</v>
      </c>
      <c r="E75" s="103" t="s">
        <v>148</v>
      </c>
    </row>
    <row r="76" spans="1:5" ht="25.5" customHeight="1" x14ac:dyDescent="0.25">
      <c r="A76" s="157" t="s">
        <v>188</v>
      </c>
      <c r="B76" s="104">
        <f>ROUNDUP('Quadro resumo'!C29/12,2)</f>
        <v>0</v>
      </c>
      <c r="C76" s="54" t="s">
        <v>149</v>
      </c>
      <c r="D76" s="60">
        <f>B76</f>
        <v>0</v>
      </c>
      <c r="E76" s="62" t="s">
        <v>150</v>
      </c>
    </row>
    <row r="77" spans="1:5" ht="38.25" x14ac:dyDescent="0.25">
      <c r="A77" s="157" t="s">
        <v>179</v>
      </c>
      <c r="B77" s="104">
        <f>TRUNC('Quadro resumo'!C39,2)</f>
        <v>0</v>
      </c>
      <c r="C77" s="54" t="s">
        <v>149</v>
      </c>
      <c r="D77" s="60">
        <f>B77</f>
        <v>0</v>
      </c>
      <c r="E77" s="62" t="s">
        <v>180</v>
      </c>
    </row>
    <row r="78" spans="1:5" ht="15.75" thickBot="1" x14ac:dyDescent="0.3">
      <c r="A78" s="65" t="s">
        <v>151</v>
      </c>
      <c r="B78" s="80" t="s">
        <v>34</v>
      </c>
      <c r="C78" s="66" t="s">
        <v>53</v>
      </c>
      <c r="D78" s="67">
        <f>SUM(D65:D77)</f>
        <v>850.22</v>
      </c>
      <c r="E78" s="69" t="s">
        <v>34</v>
      </c>
    </row>
    <row r="79" spans="1:5" ht="15.75" thickBot="1" x14ac:dyDescent="0.3">
      <c r="A79" s="137"/>
      <c r="B79" s="138"/>
      <c r="C79" s="123"/>
      <c r="D79" s="139"/>
      <c r="E79" s="140"/>
    </row>
    <row r="80" spans="1:5" ht="12.75" customHeight="1" thickBot="1" x14ac:dyDescent="0.3">
      <c r="A80" s="108" t="s">
        <v>152</v>
      </c>
      <c r="B80" s="90" t="s">
        <v>34</v>
      </c>
      <c r="C80" s="90" t="s">
        <v>153</v>
      </c>
      <c r="D80" s="109">
        <f>SUM(D14,D62,D78)</f>
        <v>4776.4400000000005</v>
      </c>
      <c r="E80" s="93" t="s">
        <v>34</v>
      </c>
    </row>
    <row r="81" spans="1:5" ht="15.75" thickBot="1" x14ac:dyDescent="0.3">
      <c r="A81" s="110"/>
      <c r="B81" s="111"/>
      <c r="C81" s="111"/>
      <c r="D81" s="111"/>
      <c r="E81" s="112"/>
    </row>
    <row r="82" spans="1:5" x14ac:dyDescent="0.25">
      <c r="A82" s="52" t="s">
        <v>154</v>
      </c>
      <c r="B82" s="45" t="s">
        <v>202</v>
      </c>
      <c r="C82" s="45" t="s">
        <v>35</v>
      </c>
      <c r="D82" s="45" t="s">
        <v>36</v>
      </c>
      <c r="E82" s="46" t="s">
        <v>37</v>
      </c>
    </row>
    <row r="83" spans="1:5" x14ac:dyDescent="0.25">
      <c r="A83" s="53" t="s">
        <v>26</v>
      </c>
      <c r="B83" s="159">
        <f>'Quadro resumo'!C45</f>
        <v>0</v>
      </c>
      <c r="C83" s="189" t="s">
        <v>155</v>
      </c>
      <c r="D83" s="98">
        <f>TRUNC(B83*$D$80,2)</f>
        <v>0</v>
      </c>
      <c r="E83" s="113" t="s">
        <v>34</v>
      </c>
    </row>
    <row r="84" spans="1:5" x14ac:dyDescent="0.25">
      <c r="A84" s="53" t="s">
        <v>27</v>
      </c>
      <c r="B84" s="159">
        <f>'Quadro resumo'!C46</f>
        <v>0</v>
      </c>
      <c r="C84" s="203"/>
      <c r="D84" s="98">
        <f>TRUNC(B84*$D$80,2)</f>
        <v>0</v>
      </c>
      <c r="E84" s="113" t="s">
        <v>34</v>
      </c>
    </row>
    <row r="85" spans="1:5" ht="15.75" thickBot="1" x14ac:dyDescent="0.3">
      <c r="A85" s="65" t="s">
        <v>156</v>
      </c>
      <c r="B85" s="165">
        <f>SUM(B83:B84)</f>
        <v>0</v>
      </c>
      <c r="C85" s="66" t="s">
        <v>53</v>
      </c>
      <c r="D85" s="67">
        <f>SUM(D83:D84)</f>
        <v>0</v>
      </c>
      <c r="E85" s="69" t="s">
        <v>34</v>
      </c>
    </row>
    <row r="86" spans="1:5" ht="15.75" thickBot="1" x14ac:dyDescent="0.3">
      <c r="A86" s="114"/>
      <c r="B86" s="17"/>
      <c r="C86" s="17"/>
      <c r="D86" s="17"/>
      <c r="E86" s="51"/>
    </row>
    <row r="87" spans="1:5" x14ac:dyDescent="0.25">
      <c r="A87" s="115" t="s">
        <v>157</v>
      </c>
      <c r="B87" s="45" t="s">
        <v>202</v>
      </c>
      <c r="C87" s="45" t="s">
        <v>35</v>
      </c>
      <c r="D87" s="45" t="s">
        <v>36</v>
      </c>
      <c r="E87" s="46" t="s">
        <v>37</v>
      </c>
    </row>
    <row r="88" spans="1:5" x14ac:dyDescent="0.25">
      <c r="A88" s="53" t="s">
        <v>29</v>
      </c>
      <c r="B88" s="159">
        <f>'Quadro resumo'!C52</f>
        <v>0</v>
      </c>
      <c r="C88" s="189" t="s">
        <v>158</v>
      </c>
      <c r="D88" s="79">
        <f>TRUNC((($D$80+$D$85)/(1-($B$88+$B$89+$B$90)))*B88,2)</f>
        <v>0</v>
      </c>
      <c r="E88" s="113" t="s">
        <v>34</v>
      </c>
    </row>
    <row r="89" spans="1:5" x14ac:dyDescent="0.25">
      <c r="A89" s="53" t="s">
        <v>30</v>
      </c>
      <c r="B89" s="159">
        <f>'Quadro resumo'!C53</f>
        <v>0</v>
      </c>
      <c r="C89" s="190"/>
      <c r="D89" s="79">
        <f>TRUNC((($D$80+$D$85)/(1-($B$88+$B$89+$B$90)))*B89,2)</f>
        <v>0</v>
      </c>
      <c r="E89" s="113" t="s">
        <v>34</v>
      </c>
    </row>
    <row r="90" spans="1:5" x14ac:dyDescent="0.25">
      <c r="A90" s="53" t="s">
        <v>31</v>
      </c>
      <c r="B90" s="159">
        <f>'Quadro resumo'!C54</f>
        <v>0</v>
      </c>
      <c r="C90" s="191"/>
      <c r="D90" s="79">
        <f>TRUNC((($D$80+$D$85)/(1-($B$88+$B$89+$B$90)))*B90,2)</f>
        <v>0</v>
      </c>
      <c r="E90" s="113" t="s">
        <v>34</v>
      </c>
    </row>
    <row r="91" spans="1:5" ht="15.75" thickBot="1" x14ac:dyDescent="0.3">
      <c r="A91" s="65" t="s">
        <v>159</v>
      </c>
      <c r="B91" s="165">
        <f>SUM(B88:B90)</f>
        <v>0</v>
      </c>
      <c r="C91" s="66" t="s">
        <v>53</v>
      </c>
      <c r="D91" s="67">
        <f>SUM(D88:D90)</f>
        <v>0</v>
      </c>
      <c r="E91" s="69" t="s">
        <v>34</v>
      </c>
    </row>
    <row r="92" spans="1:5" ht="15.75" thickBot="1" x14ac:dyDescent="0.3">
      <c r="A92" s="50"/>
      <c r="B92" s="17"/>
      <c r="C92" s="17"/>
      <c r="D92" s="17"/>
      <c r="E92" s="51"/>
    </row>
    <row r="93" spans="1:5" ht="15.75" thickBot="1" x14ac:dyDescent="0.3">
      <c r="A93" s="116" t="s">
        <v>160</v>
      </c>
      <c r="B93" s="117"/>
      <c r="C93" s="45" t="s">
        <v>35</v>
      </c>
      <c r="D93" s="117" t="s">
        <v>161</v>
      </c>
      <c r="E93" s="46" t="s">
        <v>162</v>
      </c>
    </row>
    <row r="94" spans="1:5" ht="15.75" thickBot="1" x14ac:dyDescent="0.3">
      <c r="A94" s="118"/>
      <c r="B94" s="119"/>
      <c r="C94" s="119" t="s">
        <v>163</v>
      </c>
      <c r="D94" s="120">
        <f>SUM(D80,D85,D91)</f>
        <v>4776.4400000000005</v>
      </c>
      <c r="E94" s="121">
        <f>D94*12</f>
        <v>57317.280000000006</v>
      </c>
    </row>
  </sheetData>
  <sheetProtection algorithmName="SHA-512" hashValue="8rDqoMXQTvz8DCqEp9ZhnG1QrgP4FOnWu3FT3OnCmEFEm+2gQtNJYyHDTC6/uoo8woiDV/JKt49R5VlKqprDLA==" saltValue="0OJYT3HJa3LsqjZidGmjXw==" spinCount="100000" sheet="1" objects="1" scenarios="1"/>
  <mergeCells count="6">
    <mergeCell ref="C88:C90"/>
    <mergeCell ref="A1:E1"/>
    <mergeCell ref="A3:E3"/>
    <mergeCell ref="A48:B48"/>
    <mergeCell ref="A57:E57"/>
    <mergeCell ref="C83:C8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Quadro resumo</vt:lpstr>
      <vt:lpstr>Posto 1</vt:lpstr>
      <vt:lpstr>Posto 2</vt:lpstr>
      <vt:lpstr>Posto 3</vt:lpstr>
      <vt:lpstr>Posto 4</vt:lpstr>
      <vt:lpstr>Posto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Vieira de Souza Junior</dc:creator>
  <cp:lastModifiedBy>Sergio Vieira de Souza Junior</cp:lastModifiedBy>
  <dcterms:created xsi:type="dcterms:W3CDTF">2019-04-12T21:56:15Z</dcterms:created>
  <dcterms:modified xsi:type="dcterms:W3CDTF">2019-05-24T19:20:21Z</dcterms:modified>
</cp:coreProperties>
</file>